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" yWindow="108" windowWidth="15576" windowHeight="11592"/>
  </bookViews>
  <sheets>
    <sheet name="ΑΝΑΛ.ΠΡΟΜ.OIK" sheetId="1" r:id="rId1"/>
    <sheet name="ΣΥΝΟΠΤΙΚΗ ΠΡΟΜ.OIK" sheetId="3" r:id="rId2"/>
    <sheet name="ΓΕΝ.ΠΡΟΫΠΟΛΟΓΙΣΜΟΣ" sheetId="4" state="hidden" r:id="rId3"/>
  </sheets>
  <definedNames>
    <definedName name="_xlnm.Print_Area" localSheetId="0">ΑΝΑΛ.ΠΡΟΜ.OIK!$A$1:$H$150</definedName>
    <definedName name="_xlnm.Print_Area" localSheetId="2">ΓΕΝ.ΠΡΟΫΠΟΛΟΓΙΣΜΟΣ!$A$1:$J$527</definedName>
    <definedName name="_xlnm.Print_Area" localSheetId="1">'ΣΥΝΟΠΤΙΚΗ ΠΡΟΜ.OIK'!$A$1:$F$166</definedName>
  </definedNames>
  <calcPr calcId="145621"/>
</workbook>
</file>

<file path=xl/calcChain.xml><?xml version="1.0" encoding="utf-8"?>
<calcChain xmlns="http://schemas.openxmlformats.org/spreadsheetml/2006/main">
  <c r="D159" i="3" l="1"/>
  <c r="J372" i="4" l="1"/>
  <c r="J397" i="4" l="1"/>
  <c r="I397" i="4"/>
  <c r="I372" i="4"/>
  <c r="I474" i="4" l="1"/>
  <c r="L464" i="4"/>
  <c r="L473" i="4"/>
  <c r="I467" i="4"/>
  <c r="I468" i="4"/>
  <c r="I469" i="4"/>
  <c r="I470" i="4"/>
  <c r="I471" i="4"/>
  <c r="I472" i="4"/>
  <c r="I473" i="4"/>
  <c r="I478" i="4"/>
  <c r="I475" i="4"/>
  <c r="I476" i="4"/>
  <c r="I477" i="4"/>
  <c r="I466" i="4"/>
  <c r="H31" i="4" l="1"/>
  <c r="H30" i="4"/>
  <c r="A149" i="4" l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5" i="4" s="1"/>
  <c r="A266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3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I463" i="4"/>
  <c r="I464" i="4" s="1"/>
  <c r="J464" i="4" s="1"/>
  <c r="I460" i="4"/>
  <c r="I459" i="4"/>
  <c r="I458" i="4"/>
  <c r="I457" i="4"/>
  <c r="I456" i="4"/>
  <c r="I455" i="4"/>
  <c r="I454" i="4"/>
  <c r="I453" i="4"/>
  <c r="I452" i="4"/>
  <c r="I451" i="4"/>
  <c r="I450" i="4"/>
  <c r="I449" i="4"/>
  <c r="I446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6" i="4"/>
  <c r="I425" i="4"/>
  <c r="I424" i="4"/>
  <c r="I423" i="4"/>
  <c r="I422" i="4"/>
  <c r="I421" i="4"/>
  <c r="I420" i="4"/>
  <c r="I419" i="4"/>
  <c r="I417" i="4"/>
  <c r="I427" i="4" s="1"/>
  <c r="J427" i="4" s="1"/>
  <c r="I416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414" i="4" s="1"/>
  <c r="J414" i="4" s="1"/>
  <c r="I396" i="4"/>
  <c r="I395" i="4"/>
  <c r="I394" i="4"/>
  <c r="I393" i="4"/>
  <c r="I392" i="4"/>
  <c r="I391" i="4"/>
  <c r="I390" i="4"/>
  <c r="I389" i="4"/>
  <c r="I388" i="4"/>
  <c r="I387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6" i="4"/>
  <c r="I265" i="4"/>
  <c r="I267" i="4" s="1"/>
  <c r="J267" i="4" s="1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288" i="4" l="1"/>
  <c r="J288" i="4" s="1"/>
  <c r="I188" i="4"/>
  <c r="J188" i="4" s="1"/>
  <c r="I461" i="4"/>
  <c r="J461" i="4" s="1"/>
  <c r="I263" i="4"/>
  <c r="J263" i="4" s="1"/>
  <c r="I447" i="4"/>
  <c r="J447" i="4" s="1"/>
  <c r="I243" i="4"/>
  <c r="J243" i="4" s="1"/>
  <c r="J478" i="4"/>
  <c r="I215" i="4"/>
  <c r="J215" i="4" s="1"/>
  <c r="H69" i="1"/>
  <c r="J479" i="4" l="1"/>
  <c r="E521" i="4" s="1"/>
  <c r="H116" i="1"/>
  <c r="H118" i="1"/>
  <c r="H114" i="1"/>
  <c r="H109" i="1"/>
  <c r="G66" i="1"/>
  <c r="G57" i="1"/>
  <c r="G20" i="1"/>
  <c r="G128" i="1"/>
  <c r="G60" i="1"/>
  <c r="H60" i="1" s="1"/>
  <c r="G35" i="1" l="1"/>
  <c r="H35" i="1" s="1"/>
  <c r="G8" i="1"/>
  <c r="H8" i="1" s="1"/>
  <c r="H51" i="1"/>
  <c r="H52" i="1"/>
  <c r="H57" i="1"/>
  <c r="H59" i="1"/>
  <c r="H64" i="1"/>
  <c r="H65" i="1"/>
  <c r="H76" i="1"/>
  <c r="H77" i="1"/>
  <c r="H84" i="1"/>
  <c r="H92" i="1"/>
  <c r="H95" i="1"/>
  <c r="H96" i="1"/>
  <c r="H100" i="1"/>
  <c r="H111" i="1"/>
  <c r="H135" i="1"/>
  <c r="H145" i="1"/>
  <c r="H146" i="1"/>
  <c r="H44" i="1"/>
  <c r="H40" i="1"/>
  <c r="H41" i="1"/>
  <c r="H39" i="1"/>
  <c r="H32" i="1"/>
  <c r="H29" i="1"/>
  <c r="G21" i="1"/>
  <c r="H21" i="1" s="1"/>
  <c r="H18" i="4" l="1"/>
  <c r="H17" i="4"/>
  <c r="G129" i="1"/>
  <c r="H129" i="1" s="1"/>
  <c r="G120" i="1"/>
  <c r="H120" i="1" s="1"/>
  <c r="G74" i="1" l="1"/>
  <c r="H74" i="1" s="1"/>
  <c r="G72" i="1"/>
  <c r="H72" i="1" s="1"/>
  <c r="G68" i="1"/>
  <c r="H68" i="1" s="1"/>
  <c r="H66" i="1"/>
  <c r="I141" i="4"/>
  <c r="G43" i="1"/>
  <c r="H43" i="1" s="1"/>
  <c r="G45" i="1"/>
  <c r="H45" i="1" s="1"/>
  <c r="G22" i="1"/>
  <c r="H22" i="1" s="1"/>
  <c r="H20" i="1"/>
  <c r="G17" i="1"/>
  <c r="H17" i="1" s="1"/>
  <c r="G16" i="1"/>
  <c r="H16" i="1" s="1"/>
  <c r="G14" i="1" l="1"/>
  <c r="H14" i="1" s="1"/>
  <c r="G13" i="1"/>
  <c r="H13" i="1" s="1"/>
  <c r="G18" i="1" l="1"/>
  <c r="H18" i="1" s="1"/>
  <c r="G11" i="1"/>
  <c r="H11" i="1" s="1"/>
  <c r="G10" i="1"/>
  <c r="H10" i="1" s="1"/>
  <c r="E12" i="4" l="1"/>
  <c r="I136" i="4"/>
  <c r="G135" i="4"/>
  <c r="I135" i="4" s="1"/>
  <c r="I108" i="4"/>
  <c r="G107" i="4"/>
  <c r="I107" i="4" s="1"/>
  <c r="I90" i="4"/>
  <c r="I95" i="4"/>
  <c r="I96" i="4"/>
  <c r="I97" i="4"/>
  <c r="I98" i="4"/>
  <c r="I99" i="4"/>
  <c r="I100" i="4"/>
  <c r="I101" i="4"/>
  <c r="I102" i="4"/>
  <c r="I103" i="4"/>
  <c r="I142" i="4" l="1"/>
  <c r="I143" i="4"/>
  <c r="I140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7" i="4"/>
  <c r="I115" i="4"/>
  <c r="I91" i="4"/>
  <c r="I92" i="4"/>
  <c r="I93" i="4"/>
  <c r="I94" i="4"/>
  <c r="I104" i="4"/>
  <c r="I105" i="4"/>
  <c r="I106" i="4"/>
  <c r="I109" i="4"/>
  <c r="I110" i="4"/>
  <c r="I111" i="4"/>
  <c r="I112" i="4"/>
  <c r="I89" i="4"/>
  <c r="I75" i="4"/>
  <c r="I76" i="4"/>
  <c r="I77" i="4"/>
  <c r="I78" i="4"/>
  <c r="I79" i="4"/>
  <c r="I80" i="4"/>
  <c r="I81" i="4"/>
  <c r="I82" i="4"/>
  <c r="I83" i="4"/>
  <c r="I84" i="4"/>
  <c r="I85" i="4"/>
  <c r="I86" i="4"/>
  <c r="I74" i="4"/>
  <c r="I62" i="4"/>
  <c r="I63" i="4"/>
  <c r="I64" i="4"/>
  <c r="I65" i="4"/>
  <c r="I66" i="4"/>
  <c r="I67" i="4"/>
  <c r="I68" i="4"/>
  <c r="I69" i="4"/>
  <c r="I70" i="4"/>
  <c r="I71" i="4"/>
  <c r="I61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12" i="4"/>
  <c r="I138" i="4" l="1"/>
  <c r="I72" i="4"/>
  <c r="I59" i="4"/>
  <c r="I87" i="4"/>
  <c r="I113" i="4"/>
  <c r="I144" i="4"/>
  <c r="A13" i="4"/>
  <c r="A14" i="4" l="1"/>
  <c r="E13" i="4"/>
  <c r="J144" i="4"/>
  <c r="J138" i="4"/>
  <c r="J113" i="4"/>
  <c r="J72" i="4"/>
  <c r="J59" i="4"/>
  <c r="A15" i="4" l="1"/>
  <c r="E14" i="4"/>
  <c r="J522" i="4"/>
  <c r="J523" i="4" s="1"/>
  <c r="I522" i="4"/>
  <c r="I523" i="4" s="1"/>
  <c r="G522" i="4"/>
  <c r="G523" i="4" s="1"/>
  <c r="A16" i="4" l="1"/>
  <c r="E15" i="4"/>
  <c r="J524" i="4"/>
  <c r="J525" i="4" s="1"/>
  <c r="G524" i="4"/>
  <c r="G525" i="4" s="1"/>
  <c r="I524" i="4"/>
  <c r="I525" i="4" s="1"/>
  <c r="A17" i="4" l="1"/>
  <c r="E16" i="4"/>
  <c r="G50" i="1"/>
  <c r="H50" i="1" s="1"/>
  <c r="G69" i="1"/>
  <c r="G141" i="1"/>
  <c r="H141" i="1" s="1"/>
  <c r="G143" i="1"/>
  <c r="H143" i="1" s="1"/>
  <c r="G142" i="1"/>
  <c r="H142" i="1" s="1"/>
  <c r="G108" i="1"/>
  <c r="G104" i="1"/>
  <c r="H104" i="1" s="1"/>
  <c r="G103" i="1"/>
  <c r="G101" i="1"/>
  <c r="H101" i="1" s="1"/>
  <c r="G99" i="1"/>
  <c r="F24" i="3"/>
  <c r="F27" i="3"/>
  <c r="F38" i="3"/>
  <c r="F39" i="3"/>
  <c r="F40" i="3"/>
  <c r="F45" i="3"/>
  <c r="F47" i="3"/>
  <c r="F53" i="3"/>
  <c r="F54" i="3"/>
  <c r="F61" i="3"/>
  <c r="F104" i="3"/>
  <c r="F105" i="3"/>
  <c r="F120" i="3"/>
  <c r="F123" i="3"/>
  <c r="F125" i="3"/>
  <c r="F127" i="3"/>
  <c r="F150" i="3"/>
  <c r="F152" i="3"/>
  <c r="F155" i="3"/>
  <c r="G106" i="1"/>
  <c r="H106" i="1" s="1"/>
  <c r="F81" i="3"/>
  <c r="G71" i="1"/>
  <c r="H71" i="1" s="1"/>
  <c r="F72" i="3"/>
  <c r="G67" i="1"/>
  <c r="H67" i="1" s="1"/>
  <c r="F70" i="3"/>
  <c r="G53" i="1"/>
  <c r="G54" i="1"/>
  <c r="H54" i="1" s="1"/>
  <c r="G56" i="1"/>
  <c r="H56" i="1" s="1"/>
  <c r="G48" i="1"/>
  <c r="H48" i="1" s="1"/>
  <c r="F11" i="3"/>
  <c r="F17" i="3"/>
  <c r="F15" i="3"/>
  <c r="F16" i="3"/>
  <c r="F74" i="3"/>
  <c r="F12" i="3"/>
  <c r="F9" i="3"/>
  <c r="F8" i="3"/>
  <c r="G25" i="1"/>
  <c r="F5" i="3"/>
  <c r="F6" i="3"/>
  <c r="G112" i="1"/>
  <c r="G138" i="1"/>
  <c r="G110" i="1"/>
  <c r="G42" i="1"/>
  <c r="G122" i="1"/>
  <c r="G144" i="1"/>
  <c r="H144" i="1" s="1"/>
  <c r="G140" i="1"/>
  <c r="H140" i="1" s="1"/>
  <c r="G131" i="1"/>
  <c r="H131" i="1" s="1"/>
  <c r="G130" i="1"/>
  <c r="H128" i="1"/>
  <c r="G19" i="1"/>
  <c r="G27" i="1"/>
  <c r="H27" i="1" s="1"/>
  <c r="G30" i="1"/>
  <c r="H30" i="1" s="1"/>
  <c r="G31" i="1"/>
  <c r="H31" i="1" s="1"/>
  <c r="G33" i="1"/>
  <c r="H33" i="1" s="1"/>
  <c r="G34" i="1"/>
  <c r="F32" i="3"/>
  <c r="G36" i="1"/>
  <c r="H36" i="1" s="1"/>
  <c r="G37" i="1"/>
  <c r="G38" i="1"/>
  <c r="G46" i="1"/>
  <c r="H46" i="1" s="1"/>
  <c r="G47" i="1"/>
  <c r="G49" i="1"/>
  <c r="G58" i="1"/>
  <c r="H58" i="1" s="1"/>
  <c r="G61" i="1"/>
  <c r="G62" i="1"/>
  <c r="G63" i="1"/>
  <c r="H63" i="1" s="1"/>
  <c r="G73" i="1"/>
  <c r="G75" i="1"/>
  <c r="G78" i="1"/>
  <c r="H78" i="1" s="1"/>
  <c r="G79" i="1"/>
  <c r="G80" i="1"/>
  <c r="G81" i="1"/>
  <c r="G82" i="1"/>
  <c r="H82" i="1" s="1"/>
  <c r="G83" i="1"/>
  <c r="H83" i="1" s="1"/>
  <c r="G85" i="1"/>
  <c r="H85" i="1" s="1"/>
  <c r="G86" i="1"/>
  <c r="G87" i="1"/>
  <c r="F96" i="3" s="1"/>
  <c r="G89" i="1"/>
  <c r="G90" i="1"/>
  <c r="H90" i="1" s="1"/>
  <c r="G91" i="1"/>
  <c r="G94" i="1"/>
  <c r="H94" i="1" s="1"/>
  <c r="G97" i="1"/>
  <c r="H97" i="1" s="1"/>
  <c r="G109" i="1"/>
  <c r="F129" i="3"/>
  <c r="G121" i="1"/>
  <c r="H121" i="1" s="1"/>
  <c r="G124" i="1"/>
  <c r="G126" i="1"/>
  <c r="G132" i="1"/>
  <c r="G134" i="1"/>
  <c r="H134" i="1" s="1"/>
  <c r="G136" i="1"/>
  <c r="G147" i="1"/>
  <c r="G148" i="1"/>
  <c r="F103" i="3"/>
  <c r="F43" i="3"/>
  <c r="F26" i="3"/>
  <c r="F78" i="3"/>
  <c r="F63" i="3"/>
  <c r="F48" i="3"/>
  <c r="F29" i="3"/>
  <c r="A18" i="4" l="1"/>
  <c r="E17" i="4"/>
  <c r="F25" i="3"/>
  <c r="F90" i="3"/>
  <c r="F76" i="3"/>
  <c r="F130" i="3"/>
  <c r="F60" i="3"/>
  <c r="F67" i="3"/>
  <c r="F62" i="3"/>
  <c r="F34" i="3"/>
  <c r="F85" i="3"/>
  <c r="F115" i="3"/>
  <c r="F71" i="3"/>
  <c r="F91" i="3"/>
  <c r="J87" i="4"/>
  <c r="J145" i="4" s="1"/>
  <c r="I480" i="4" s="1"/>
  <c r="L480" i="4" s="1"/>
  <c r="M480" i="4" s="1"/>
  <c r="H87" i="1"/>
  <c r="F66" i="3"/>
  <c r="H62" i="1"/>
  <c r="F49" i="3"/>
  <c r="H47" i="1"/>
  <c r="F147" i="3"/>
  <c r="H138" i="1"/>
  <c r="F20" i="3"/>
  <c r="H25" i="1"/>
  <c r="F57" i="3"/>
  <c r="F151" i="3"/>
  <c r="F145" i="3"/>
  <c r="H136" i="1"/>
  <c r="F106" i="3"/>
  <c r="F94" i="3"/>
  <c r="H86" i="1"/>
  <c r="F89" i="3"/>
  <c r="H81" i="1"/>
  <c r="F82" i="3"/>
  <c r="H75" i="1"/>
  <c r="F65" i="3"/>
  <c r="H61" i="1"/>
  <c r="F139" i="3"/>
  <c r="H130" i="1"/>
  <c r="F131" i="3"/>
  <c r="H122" i="1"/>
  <c r="F121" i="3"/>
  <c r="H112" i="1"/>
  <c r="F55" i="3"/>
  <c r="H53" i="1"/>
  <c r="F112" i="3"/>
  <c r="H103" i="1"/>
  <c r="F157" i="3"/>
  <c r="H148" i="1"/>
  <c r="F141" i="3"/>
  <c r="H132" i="1"/>
  <c r="F100" i="3"/>
  <c r="H91" i="1"/>
  <c r="F143" i="3"/>
  <c r="F156" i="3"/>
  <c r="H147" i="1"/>
  <c r="F135" i="3"/>
  <c r="H126" i="1"/>
  <c r="F88" i="3"/>
  <c r="H80" i="1"/>
  <c r="F79" i="3"/>
  <c r="H73" i="1"/>
  <c r="F37" i="3"/>
  <c r="H38" i="1"/>
  <c r="F31" i="3"/>
  <c r="H34" i="1"/>
  <c r="F41" i="3"/>
  <c r="H42" i="1"/>
  <c r="F133" i="3"/>
  <c r="H124" i="1"/>
  <c r="F98" i="3"/>
  <c r="H89" i="1"/>
  <c r="F86" i="3"/>
  <c r="H79" i="1"/>
  <c r="F51" i="3"/>
  <c r="H49" i="1"/>
  <c r="F36" i="3"/>
  <c r="H37" i="1"/>
  <c r="F14" i="3"/>
  <c r="H19" i="1"/>
  <c r="F149" i="3"/>
  <c r="F119" i="3"/>
  <c r="H110" i="1"/>
  <c r="F108" i="3"/>
  <c r="H99" i="1"/>
  <c r="F117" i="3"/>
  <c r="H108" i="1"/>
  <c r="E522" i="4"/>
  <c r="F138" i="3"/>
  <c r="F137" i="3"/>
  <c r="F153" i="3"/>
  <c r="F73" i="3"/>
  <c r="F42" i="3"/>
  <c r="F52" i="3"/>
  <c r="F22" i="3"/>
  <c r="F93" i="3"/>
  <c r="F99" i="3"/>
  <c r="F118" i="3"/>
  <c r="F140" i="3"/>
  <c r="F50" i="3"/>
  <c r="F58" i="3"/>
  <c r="F113" i="3"/>
  <c r="F110" i="3"/>
  <c r="A19" i="4" l="1"/>
  <c r="E18" i="4"/>
  <c r="E523" i="4"/>
  <c r="E524" i="4" s="1"/>
  <c r="A20" i="4" l="1"/>
  <c r="E19" i="4"/>
  <c r="E525" i="4"/>
  <c r="A21" i="4" l="1"/>
  <c r="E20" i="4"/>
  <c r="C521" i="4"/>
  <c r="C522" i="4" s="1"/>
  <c r="L522" i="4" s="1"/>
  <c r="I481" i="4"/>
  <c r="I482" i="4" s="1"/>
  <c r="I483" i="4" s="1"/>
  <c r="I484" i="4" s="1"/>
  <c r="I526" i="4" s="1"/>
  <c r="A22" i="4" l="1"/>
  <c r="E21" i="4"/>
  <c r="L521" i="4"/>
  <c r="J526" i="4"/>
  <c r="E526" i="4"/>
  <c r="E527" i="4" s="1"/>
  <c r="I486" i="4"/>
  <c r="I487" i="4" s="1"/>
  <c r="I488" i="4" s="1"/>
  <c r="G526" i="4"/>
  <c r="C523" i="4"/>
  <c r="C524" i="4" s="1"/>
  <c r="L524" i="4" s="1"/>
  <c r="A23" i="4" l="1"/>
  <c r="E22" i="4"/>
  <c r="C525" i="4"/>
  <c r="C526" i="4" s="1"/>
  <c r="L523" i="4"/>
  <c r="A24" i="4" l="1"/>
  <c r="E23" i="4"/>
  <c r="L525" i="4"/>
  <c r="L526" i="4"/>
  <c r="C527" i="4"/>
  <c r="L527" i="4" s="1"/>
  <c r="A25" i="4" l="1"/>
  <c r="E24" i="4"/>
  <c r="A26" i="4" l="1"/>
  <c r="E25" i="4"/>
  <c r="A27" i="4" l="1"/>
  <c r="E26" i="4"/>
  <c r="A28" i="4" l="1"/>
  <c r="E27" i="4"/>
  <c r="A29" i="4" l="1"/>
  <c r="E28" i="4"/>
  <c r="A30" i="4" l="1"/>
  <c r="E29" i="4"/>
  <c r="A31" i="4" l="1"/>
  <c r="E30" i="4"/>
  <c r="A32" i="4" l="1"/>
  <c r="E31" i="4"/>
  <c r="A33" i="4" l="1"/>
  <c r="E32" i="4"/>
  <c r="A34" i="4" l="1"/>
  <c r="E33" i="4"/>
  <c r="A35" i="4" l="1"/>
  <c r="E34" i="4"/>
  <c r="A36" i="4" l="1"/>
  <c r="E35" i="4"/>
  <c r="A37" i="4" l="1"/>
  <c r="E36" i="4"/>
  <c r="A38" i="4" l="1"/>
  <c r="E37" i="4"/>
  <c r="A39" i="4" l="1"/>
  <c r="E38" i="4"/>
  <c r="A40" i="4" l="1"/>
  <c r="E39" i="4"/>
  <c r="A41" i="4" l="1"/>
  <c r="E40" i="4"/>
  <c r="A42" i="4" l="1"/>
  <c r="E41" i="4"/>
  <c r="A43" i="4" l="1"/>
  <c r="E42" i="4"/>
  <c r="A44" i="4" l="1"/>
  <c r="E43" i="4"/>
  <c r="A45" i="4" l="1"/>
  <c r="E44" i="4"/>
  <c r="A46" i="4" l="1"/>
  <c r="E45" i="4"/>
  <c r="A47" i="4" l="1"/>
  <c r="E46" i="4"/>
  <c r="A48" i="4" l="1"/>
  <c r="E47" i="4"/>
  <c r="A49" i="4" l="1"/>
  <c r="E48" i="4"/>
  <c r="A50" i="4" l="1"/>
  <c r="E49" i="4"/>
  <c r="A51" i="4" l="1"/>
  <c r="E50" i="4"/>
  <c r="A52" i="4" l="1"/>
  <c r="E51" i="4"/>
  <c r="A53" i="4" l="1"/>
  <c r="E52" i="4"/>
  <c r="A54" i="4" l="1"/>
  <c r="E53" i="4"/>
  <c r="A55" i="4" l="1"/>
  <c r="E54" i="4"/>
  <c r="A56" i="4" l="1"/>
  <c r="E55" i="4"/>
  <c r="A57" i="4" l="1"/>
  <c r="E56" i="4"/>
  <c r="A58" i="4" l="1"/>
  <c r="E57" i="4"/>
  <c r="E58" i="4" l="1"/>
  <c r="A61" i="4"/>
  <c r="E61" i="4" l="1"/>
  <c r="A62" i="4"/>
  <c r="A63" i="4" l="1"/>
  <c r="E62" i="4"/>
  <c r="A64" i="4" l="1"/>
  <c r="E63" i="4"/>
  <c r="A65" i="4" l="1"/>
  <c r="E64" i="4"/>
  <c r="A66" i="4" l="1"/>
  <c r="E65" i="4"/>
  <c r="A67" i="4" l="1"/>
  <c r="E66" i="4"/>
  <c r="A68" i="4" l="1"/>
  <c r="E67" i="4"/>
  <c r="A69" i="4" l="1"/>
  <c r="E68" i="4"/>
  <c r="A70" i="4" l="1"/>
  <c r="E69" i="4"/>
  <c r="A71" i="4" l="1"/>
  <c r="E70" i="4"/>
  <c r="E71" i="4" l="1"/>
  <c r="A74" i="4"/>
  <c r="E74" i="4" s="1"/>
  <c r="A75" i="4" l="1"/>
  <c r="A76" i="4" s="1"/>
  <c r="E75" i="4" l="1"/>
  <c r="A77" i="4"/>
  <c r="E76" i="4"/>
  <c r="A78" i="4" l="1"/>
  <c r="E77" i="4"/>
  <c r="A79" i="4" l="1"/>
  <c r="E78" i="4"/>
  <c r="A80" i="4" l="1"/>
  <c r="E79" i="4"/>
  <c r="A81" i="4" l="1"/>
  <c r="E80" i="4"/>
  <c r="A82" i="4" l="1"/>
  <c r="E81" i="4"/>
  <c r="A83" i="4" l="1"/>
  <c r="E82" i="4"/>
  <c r="A84" i="4" l="1"/>
  <c r="E83" i="4"/>
  <c r="A85" i="4" l="1"/>
  <c r="E84" i="4"/>
  <c r="A86" i="4" l="1"/>
  <c r="E85" i="4"/>
  <c r="E86" i="4" l="1"/>
  <c r="A89" i="4"/>
  <c r="A90" i="4" l="1"/>
  <c r="E89" i="4"/>
  <c r="E90" i="4" l="1"/>
  <c r="A91" i="4"/>
  <c r="A92" i="4" l="1"/>
  <c r="E91" i="4"/>
  <c r="A93" i="4" l="1"/>
  <c r="E92" i="4"/>
  <c r="A94" i="4" l="1"/>
  <c r="E93" i="4"/>
  <c r="A95" i="4" l="1"/>
  <c r="E94" i="4"/>
  <c r="A96" i="4" l="1"/>
  <c r="E95" i="4"/>
  <c r="A97" i="4" l="1"/>
  <c r="E96" i="4"/>
  <c r="A98" i="4" l="1"/>
  <c r="E97" i="4"/>
  <c r="A99" i="4" l="1"/>
  <c r="E98" i="4"/>
  <c r="A100" i="4" l="1"/>
  <c r="E99" i="4"/>
  <c r="A101" i="4" l="1"/>
  <c r="E100" i="4"/>
  <c r="A102" i="4" l="1"/>
  <c r="E101" i="4"/>
  <c r="A103" i="4" l="1"/>
  <c r="E102" i="4"/>
  <c r="A104" i="4" l="1"/>
  <c r="E103" i="4"/>
  <c r="A105" i="4" l="1"/>
  <c r="E104" i="4"/>
  <c r="A106" i="4" l="1"/>
  <c r="E105" i="4"/>
  <c r="A107" i="4" l="1"/>
  <c r="E106" i="4"/>
  <c r="A108" i="4" l="1"/>
  <c r="E107" i="4"/>
  <c r="A109" i="4" l="1"/>
  <c r="E108" i="4"/>
  <c r="A110" i="4" l="1"/>
  <c r="E109" i="4"/>
  <c r="A111" i="4" l="1"/>
  <c r="E110" i="4"/>
  <c r="A112" i="4" l="1"/>
  <c r="E111" i="4"/>
  <c r="A115" i="4" l="1"/>
  <c r="E115" i="4" s="1"/>
  <c r="E112" i="4"/>
  <c r="A116" i="4" l="1"/>
  <c r="E116" i="4" s="1"/>
  <c r="A117" i="4"/>
  <c r="A118" i="4" l="1"/>
  <c r="E117" i="4"/>
  <c r="A119" i="4" l="1"/>
  <c r="E118" i="4"/>
  <c r="A120" i="4" l="1"/>
  <c r="E119" i="4"/>
  <c r="A121" i="4" l="1"/>
  <c r="E120" i="4"/>
  <c r="A122" i="4" l="1"/>
  <c r="E121" i="4"/>
  <c r="A123" i="4" l="1"/>
  <c r="E122" i="4"/>
  <c r="A124" i="4" l="1"/>
  <c r="E123" i="4"/>
  <c r="A125" i="4" l="1"/>
  <c r="E124" i="4"/>
  <c r="A126" i="4" l="1"/>
  <c r="E125" i="4"/>
  <c r="A127" i="4" l="1"/>
  <c r="E126" i="4"/>
  <c r="A128" i="4" l="1"/>
  <c r="E127" i="4"/>
  <c r="A129" i="4" l="1"/>
  <c r="E128" i="4"/>
  <c r="A130" i="4" l="1"/>
  <c r="E129" i="4"/>
  <c r="A131" i="4" l="1"/>
  <c r="E130" i="4"/>
  <c r="A132" i="4" l="1"/>
  <c r="E131" i="4"/>
  <c r="A133" i="4" l="1"/>
  <c r="E132" i="4"/>
  <c r="A134" i="4" l="1"/>
  <c r="E133" i="4"/>
  <c r="A135" i="4" l="1"/>
  <c r="E134" i="4"/>
  <c r="A136" i="4" l="1"/>
  <c r="E135" i="4"/>
  <c r="A137" i="4" l="1"/>
  <c r="E136" i="4"/>
  <c r="E137" i="4" l="1"/>
  <c r="A140" i="4"/>
  <c r="E140" i="4" s="1"/>
  <c r="A141" i="4" l="1"/>
  <c r="E141" i="4" s="1"/>
  <c r="A142" i="4"/>
  <c r="A143" i="4" l="1"/>
  <c r="E143" i="4" s="1"/>
  <c r="E142" i="4"/>
</calcChain>
</file>

<file path=xl/sharedStrings.xml><?xml version="1.0" encoding="utf-8"?>
<sst xmlns="http://schemas.openxmlformats.org/spreadsheetml/2006/main" count="2934" uniqueCount="1282">
  <si>
    <t>Αριθ. Τιμολ.</t>
  </si>
  <si>
    <t xml:space="preserve"> Συνοπτική περιγραφή</t>
  </si>
  <si>
    <t>Αρθρο Αναθεώρ.</t>
  </si>
  <si>
    <t>Μονάδα Μέτρησης</t>
  </si>
  <si>
    <t>Συνολική Ποσότητα</t>
  </si>
  <si>
    <t xml:space="preserve">20.   ΧΩΜΑΤΟΥΡΓΙΚΕΣ ΕΡΓΑΣΙΕΣ ΚΤΙΡΙΑΚΩΝ ΕΡΓΩΝ </t>
  </si>
  <si>
    <t xml:space="preserve"> </t>
  </si>
  <si>
    <t>20.01</t>
  </si>
  <si>
    <t xml:space="preserve">Εκθάμνωση εδάφους ή εκρίζωση δενδρυλλίων </t>
  </si>
  <si>
    <t>20.01.01</t>
  </si>
  <si>
    <t>περιμέτρου κορμού μέχρι 0,25 m</t>
  </si>
  <si>
    <t>ΟΙΚ-2101</t>
  </si>
  <si>
    <t>m2</t>
  </si>
  <si>
    <t>20.01.02</t>
  </si>
  <si>
    <t>περιμέτρου κορμού 0,26 - 0,40 m</t>
  </si>
  <si>
    <t>σε εδάφη γαιώδη-ημιβραχώδη</t>
  </si>
  <si>
    <t>m3</t>
  </si>
  <si>
    <t>20.05</t>
  </si>
  <si>
    <t>Eκσκαφή θεμελίων και τάφρων με χρήση μηχανικών μέσων, χωρίς την καθαρή μεταφορά των προϊόντων εκσκαφής</t>
  </si>
  <si>
    <t>20.05.01</t>
  </si>
  <si>
    <t>ΟΙΚ-2124</t>
  </si>
  <si>
    <t>20.05.02</t>
  </si>
  <si>
    <t>σε εδάφη βραχώδη, εκτός από γρανιτικά-κροκαλοπαγή, χωρίς χρήση εκρηκτικών υλών</t>
  </si>
  <si>
    <t>ΟΙΚ-2127</t>
  </si>
  <si>
    <t>20.06</t>
  </si>
  <si>
    <t xml:space="preserve">Προσαύξηση τιμών εκσκαφών βάθους μεγαλύτερου των 2,00 m </t>
  </si>
  <si>
    <t>20.06.02</t>
  </si>
  <si>
    <t>για τις εκτελούμενες με μηχανικά μέσα εκσκαφές θεμελίων και τάφρων</t>
  </si>
  <si>
    <t>ΟΙΚ-2133</t>
  </si>
  <si>
    <t>20.07</t>
  </si>
  <si>
    <t xml:space="preserve">Εκσκαφές μεμονωμένες (ντουλάπια) </t>
  </si>
  <si>
    <t>ΟΙΚ-2135.1</t>
  </si>
  <si>
    <t>20.08</t>
  </si>
  <si>
    <t xml:space="preserve">Ανόρυξη φρεάτων </t>
  </si>
  <si>
    <t>20.08.04</t>
  </si>
  <si>
    <t>σε εδάφη βραχώδη πάσης φύσεως, χωρίς χρήση εκρηκτικών υλών</t>
  </si>
  <si>
    <t>ΟΙΚ-2145</t>
  </si>
  <si>
    <t>20.30</t>
  </si>
  <si>
    <t>Φορτοεκφόρτωση προϊόντων εκσκαφών με μηχανικά μέσα</t>
  </si>
  <si>
    <t>ΟΙΚ-2171</t>
  </si>
  <si>
    <t>20.40</t>
  </si>
  <si>
    <t xml:space="preserve">Χειρονακτική διακίνηση προϊόντων εκσκαφών και κατεδαφίσεων </t>
  </si>
  <si>
    <t>ΟΙΚ-2177</t>
  </si>
  <si>
    <t>ton x 10 m</t>
  </si>
  <si>
    <t>21. ΑΝΤΛΗΣΕΙΣ - ΑΠΟΣΤΡΑΓΓΙΣΕΙΣ</t>
  </si>
  <si>
    <t>21.01.02</t>
  </si>
  <si>
    <t>Αντλητικά συγκροτήματα ηλεκτροκίνητα.</t>
  </si>
  <si>
    <t>21.01.02.02</t>
  </si>
  <si>
    <t>Ισχύος 1,0 έως 2,5 kW</t>
  </si>
  <si>
    <t>ΟΙΚ 2185</t>
  </si>
  <si>
    <t>h</t>
  </si>
  <si>
    <t>21.03</t>
  </si>
  <si>
    <t>Γραμμικά στραγγιστήρια από διάτρητους πλαστικούς σωλήνες με περίβλημα γεωυφάσματος</t>
  </si>
  <si>
    <t>21.03.03</t>
  </si>
  <si>
    <t>Στραγγιστήρια με διάτρητους σωλήνες D 160 mm</t>
  </si>
  <si>
    <t>ΥΔΡ-6620.3</t>
  </si>
  <si>
    <t>m</t>
  </si>
  <si>
    <t>22. ΚΑΘΑΙΡΕΣΕΙΣ</t>
  </si>
  <si>
    <t>22.01</t>
  </si>
  <si>
    <t xml:space="preserve">Καθαίρεση θεμελίων από αργολιθοδομή ή λιθοδομή </t>
  </si>
  <si>
    <t>ΟΙΚ-2202</t>
  </si>
  <si>
    <t>22.03</t>
  </si>
  <si>
    <t xml:space="preserve">Διαλογή των χρησίμων λίθων από τα προϊόντα καθαιρέσεως </t>
  </si>
  <si>
    <t>ΟΙΚ-2212</t>
  </si>
  <si>
    <t>22.04</t>
  </si>
  <si>
    <t>Καθαιρέσεις πλινθοδομών</t>
  </si>
  <si>
    <t>ΟΙΚ-2222</t>
  </si>
  <si>
    <t>22.04.Σχ.2</t>
  </si>
  <si>
    <t>Καθαίρεση καπνοδόχων</t>
  </si>
  <si>
    <t>μμ</t>
  </si>
  <si>
    <t>22.10.01</t>
  </si>
  <si>
    <t>Με εφαρμογή συνήθων μεθόδων καθαίρεσης</t>
  </si>
  <si>
    <t>ΟΙΚ-2226</t>
  </si>
  <si>
    <t>22.15</t>
  </si>
  <si>
    <t xml:space="preserve">Καθαίρεση μεμονωμέν. στοιχείων κατασκευών από οπλισμένο σκυρόδεμα. </t>
  </si>
  <si>
    <t>22.15.01</t>
  </si>
  <si>
    <t>22.15.02</t>
  </si>
  <si>
    <t>Καθαίρεση συνήθων κατασκευών, όπως τμημάτων πλακών, τοιχωμάτων, προβόλων κλπ ή διανοίξεις οπών σε αυτά, με εφαρμογή τεχνικών μη διαταραγμένης κοπής</t>
  </si>
  <si>
    <t>m*cm (dm2)</t>
  </si>
  <si>
    <t>22.20</t>
  </si>
  <si>
    <t xml:space="preserve">Καθαίρεση πλακοστρώσεων δαπέδων παντός τύπου και οιουδήποτε πάχους </t>
  </si>
  <si>
    <t>22.20.01</t>
  </si>
  <si>
    <t>Χωρίς να καταβάλλεται προσοχή για την εξαγωγή ακεραίων πλακών</t>
  </si>
  <si>
    <t>ΟΙΚ-2236</t>
  </si>
  <si>
    <t>22.21</t>
  </si>
  <si>
    <t xml:space="preserve">Καθαίρεση επιστρώσεων τοίχων παντός τύπου </t>
  </si>
  <si>
    <t>22.21.01</t>
  </si>
  <si>
    <t>ΟΙΚ-2238</t>
  </si>
  <si>
    <t>22.22.02</t>
  </si>
  <si>
    <t xml:space="preserve">Καθαίρεση επικεραμώσεων </t>
  </si>
  <si>
    <t>ΟΙΚ-2241</t>
  </si>
  <si>
    <t>22.23</t>
  </si>
  <si>
    <t>Καθαίρεση επιχρισμάτων</t>
  </si>
  <si>
    <t>ΟΙΚ-2252</t>
  </si>
  <si>
    <t>22.23.Σχ.1</t>
  </si>
  <si>
    <t>Καθαρισμός όψης παλαιάς λιθοδομής με υδραμμοβολή</t>
  </si>
  <si>
    <t>22.23.Σχ.2</t>
  </si>
  <si>
    <t>Καθαρισμός αρμών λιθοδομής διά χειρός</t>
  </si>
  <si>
    <t>22.35</t>
  </si>
  <si>
    <t>Διάνοιξη οπής ή φωλιάς σε λιθοδομή</t>
  </si>
  <si>
    <t>ΟΙΚ-2267</t>
  </si>
  <si>
    <t>τεμ</t>
  </si>
  <si>
    <t>22.35.Σχ.1</t>
  </si>
  <si>
    <t>Διάνοιξη οπής ή φωλιάς ή δοκοθήκης σε λιθοδομή (τιμή από 22.37.01)</t>
  </si>
  <si>
    <t>22.35.Σχ.2</t>
  </si>
  <si>
    <t>Καθαρισμός και συντήρηση υφιστάμενων δοκοθηκών</t>
  </si>
  <si>
    <t>22.36</t>
  </si>
  <si>
    <t>Διαμόρφωση ανοιγμάτων σε λιθοδομές</t>
  </si>
  <si>
    <t>22.36.01</t>
  </si>
  <si>
    <t>Για οπές επιφανείας 0,51 m2 έως 1,00 m2</t>
  </si>
  <si>
    <t>ΟΙΚ-2268Α</t>
  </si>
  <si>
    <t>22.37</t>
  </si>
  <si>
    <t>Διάνοιξη αυλακιού σε λιθοδομή ή άοπλο σκυρόδεμα</t>
  </si>
  <si>
    <t>22.37.01</t>
  </si>
  <si>
    <t>Για πλάτος αυλακιού έως 0,10 m</t>
  </si>
  <si>
    <t>ΟΙΚ-2269Α</t>
  </si>
  <si>
    <t>22.37.02.Σχ.1</t>
  </si>
  <si>
    <t>Κατασκευή σενάζ-χαλινού στη θέση κατεστραμένης ξυλοδεσιάς</t>
  </si>
  <si>
    <t>ΟΙΚ-3213</t>
  </si>
  <si>
    <t>22.45</t>
  </si>
  <si>
    <t>Αποξήλωση ξυλίνων ή σιδηρών κουφωμάτων</t>
  </si>
  <si>
    <t>ΟΙΚ-2275</t>
  </si>
  <si>
    <t>22.50</t>
  </si>
  <si>
    <t>Αποξήλωση ξυλίνων δαπέδων ή επενδύσεων</t>
  </si>
  <si>
    <t>22.50.Σχ.1</t>
  </si>
  <si>
    <t>Αποξήλωση σανιδώματος πατωμάτων και στέγης</t>
  </si>
  <si>
    <t>22.51</t>
  </si>
  <si>
    <t>Καθαίρεση φέροντος οργανισμού ξύλινης στέγης</t>
  </si>
  <si>
    <t>ΟΙΚ-5276</t>
  </si>
  <si>
    <t>22.51.Σχ.1</t>
  </si>
  <si>
    <t>Καθαίρεση φέροντος σκελετού κατακόρυφων επιφανειών (κολώνες, κεφαλοκόλωνα κλπ)</t>
  </si>
  <si>
    <t>22.53.Σχ.1</t>
  </si>
  <si>
    <t>Καθαίρεση οροφών (ξύλινων ή μπαγδατί)</t>
  </si>
  <si>
    <t>22.61</t>
  </si>
  <si>
    <t>Καθαίρεση επένδυσης τοίχων από μοριοσανίδες ή ινοσανίδες ή γυψοσανίδες</t>
  </si>
  <si>
    <t>ΟΙΚ-2239</t>
  </si>
  <si>
    <t>22.65</t>
  </si>
  <si>
    <t>Αποξήλωση κιγκλιδωμάτων</t>
  </si>
  <si>
    <t>22.65.01</t>
  </si>
  <si>
    <t>Για ξύλινα κιγκλιδώματα</t>
  </si>
  <si>
    <t>22.65.02</t>
  </si>
  <si>
    <t>Για μεταλλικά κιγκλιδώματα</t>
  </si>
  <si>
    <t>kg</t>
  </si>
  <si>
    <t>22.70</t>
  </si>
  <si>
    <t>Αποξηλώσεις τοιχοπετασμάτων</t>
  </si>
  <si>
    <t>22.70.02.Σχ.1</t>
  </si>
  <si>
    <t>Καθαίρεση ξύλινων πάγκων και ερμαρίων πλάτους έως 0,6m</t>
  </si>
  <si>
    <t>ΟΙΚ-2237</t>
  </si>
  <si>
    <t>22.72</t>
  </si>
  <si>
    <t>Αποξήλωση ξυλίνoυ φέροντος οργανισμού πατωμάτων</t>
  </si>
  <si>
    <t>22.72.Σχ.1</t>
  </si>
  <si>
    <t>Αποξήλωση ξύλινου φέροντος οργανισμού ξυλόπηκτων τοίχων</t>
  </si>
  <si>
    <t>22.72.Σχ.2</t>
  </si>
  <si>
    <t>Καθαίρεση ξύλινης σκάλας</t>
  </si>
  <si>
    <t>23. ΙΚΡΙΩΜΑΤΑ - ΑΝΤΙΣΤΗΡΙΞΕΙΣ</t>
  </si>
  <si>
    <t>23.05</t>
  </si>
  <si>
    <t>Πετάσματα ασφαλείας επί ικριωμάτων</t>
  </si>
  <si>
    <t>ΟΙΚ-2304</t>
  </si>
  <si>
    <t>23.14</t>
  </si>
  <si>
    <t>Επενδύσεις πρόσοψης ικριωμάτων</t>
  </si>
  <si>
    <t>ΟΙΚ-2314.1</t>
  </si>
  <si>
    <t>ΟΙΚ-2312</t>
  </si>
  <si>
    <t>23.20.Σχ.1</t>
  </si>
  <si>
    <t>Ειδική υποστήλωση-σταθεροποίηση στέγης ή δαπέδου μέχρι ύψους 10,00 μ</t>
  </si>
  <si>
    <t>32.02</t>
  </si>
  <si>
    <t xml:space="preserve">Προμήθεια, μεταφορά επιτόπου, διάστρωση και συμπύκνωση σκυροδέματος χωρίς χρήση αντλίας </t>
  </si>
  <si>
    <t>32.02.02</t>
  </si>
  <si>
    <t>Για κατασκευές από σκυρόδεμα κατηγορίας C10/12</t>
  </si>
  <si>
    <t>ΟΙΚ 3212</t>
  </si>
  <si>
    <t>32.02.04</t>
  </si>
  <si>
    <t>Για κατασκευές από σκυρόδεμα κατηγορίας C16/20</t>
  </si>
  <si>
    <t>ΟΙΚ-3214</t>
  </si>
  <si>
    <t>32.02.05</t>
  </si>
  <si>
    <t>Για κατασκευές από σκυρόδεμα κατηγορίας C20/25</t>
  </si>
  <si>
    <t>ΟΙΚ 3215</t>
  </si>
  <si>
    <t>32.25</t>
  </si>
  <si>
    <t xml:space="preserve">Προσαύξηση τιμής σκυροδέματος οποιασδήποτε κατηγορίας, όταν το σύνολο της χρησιμοποιούμενης ποσότητας δεν υπερβαίνει τα 30,00m3 </t>
  </si>
  <si>
    <t>---</t>
  </si>
  <si>
    <t>32.25.05.Σχ.2</t>
  </si>
  <si>
    <t>lt</t>
  </si>
  <si>
    <t xml:space="preserve">38. ΞΥΛΟΤΥΠΟΙ - ΟΠΛΙΣΜΟΙ </t>
  </si>
  <si>
    <t>38.03</t>
  </si>
  <si>
    <t>Ξυλότυποι συνήθων χυτών κατασκευών</t>
  </si>
  <si>
    <t>ΟΙΚ 3816</t>
  </si>
  <si>
    <t>38.20</t>
  </si>
  <si>
    <t>Χαλύβδινοι οπλισμοί σκυροδέματος</t>
  </si>
  <si>
    <t>38.20.02.Σχ.1.1</t>
  </si>
  <si>
    <t>Τοποθέτηση χαλύβδινων αγγυρίων Φ16 σε λιθοδομή, σε βάθος 40 εκ.</t>
  </si>
  <si>
    <t>ΟΙΚ-3873</t>
  </si>
  <si>
    <t>τεμ.</t>
  </si>
  <si>
    <t>38.20.03</t>
  </si>
  <si>
    <t>Δομικά πλέγματα B500C (S500s)</t>
  </si>
  <si>
    <t>38.30</t>
  </si>
  <si>
    <t>Οπλισμός σκυροδέματος από ανοξείδωτο χάλυβα</t>
  </si>
  <si>
    <t>38.30.02</t>
  </si>
  <si>
    <t>Ανοξείδωτοι οπλισμοί με νευρώσεις</t>
  </si>
  <si>
    <t>ΟΙΚ 3873</t>
  </si>
  <si>
    <t>38.45</t>
  </si>
  <si>
    <t>Αποστάτες σιδηροπλισμού σκυροδεμάτων</t>
  </si>
  <si>
    <t>42.11</t>
  </si>
  <si>
    <t>Αργολιθοδομές με ασβεστοτσιμεντοκονίαμα των 400 kg τσιμέντου</t>
  </si>
  <si>
    <t>42.11.02</t>
  </si>
  <si>
    <t xml:space="preserve">Αργολιθοδομές με ασβεστοτσιμεντοκονίαμα μιάς ορατής όψεως </t>
  </si>
  <si>
    <t>ΟΙΚ-4212</t>
  </si>
  <si>
    <t>42.11.02.Σχ.2</t>
  </si>
  <si>
    <t>Δημιουργία χώρου σενάζ σε υπάρχουσα λιθοδομή</t>
  </si>
  <si>
    <t>42.51</t>
  </si>
  <si>
    <t xml:space="preserve">Κοινές γωνιολιθοδομές </t>
  </si>
  <si>
    <t>42.51.03</t>
  </si>
  <si>
    <t>Κοινές γωνιολιθοδομές με τσιμεντοασβεστοκονίαμα 400 kg τσιμέντου και 0,08 m3 ασβέστου</t>
  </si>
  <si>
    <t>ΟΙΚ-4262</t>
  </si>
  <si>
    <t>43.22.Σχ.2</t>
  </si>
  <si>
    <t>Ανακατασκευή λιθόκτιστης σκάλας</t>
  </si>
  <si>
    <t>ΟΙΚ 4201</t>
  </si>
  <si>
    <t>45.03</t>
  </si>
  <si>
    <t>Διαμόρφωση όψεων ακανονίστων (ημιεμπλέκτων) λιθοδομών</t>
  </si>
  <si>
    <t>ΟΙΚ 4503</t>
  </si>
  <si>
    <t>45.03.Σχ.1</t>
  </si>
  <si>
    <t>Συμπλήρωση όψεων ακανονίστων λιθοδομών</t>
  </si>
  <si>
    <t>46.15</t>
  </si>
  <si>
    <t>Οπτοπλινθοδομές με διακένους τυποποιημένους οπτοπλίνθους 9x19x24 cm ή και μεγαλυτέρων διαστάσεων</t>
  </si>
  <si>
    <t>46.15.01</t>
  </si>
  <si>
    <t>Πάχους 1/2 πλίνθου (δρομικοί τοίχοι)</t>
  </si>
  <si>
    <t>ΟΙΚ-4662.1</t>
  </si>
  <si>
    <t>46.15.02</t>
  </si>
  <si>
    <t>Πάχους 1 (μιάς) πλίνθου (μπατικοί τοίχοι)</t>
  </si>
  <si>
    <t>48.35</t>
  </si>
  <si>
    <t>Καπνοδόχοι από προκατασκευασμένα στοιχεία</t>
  </si>
  <si>
    <t>48.35.Σχ.1</t>
  </si>
  <si>
    <t>Κατασκευή καπνοδόχου από συμπαγείς πλίνθους</t>
  </si>
  <si>
    <t>ΟΙΚ 4622.1</t>
  </si>
  <si>
    <t xml:space="preserve">49.  ΔΙΑΖΩΜΑΤΑ (ΣΕΝΑΖ) - ΛΟΙΠΕΣ ΕΝΙΣΧΥΣΕΙΣ ΤΟΙΧΟΔΟΜΩΝ </t>
  </si>
  <si>
    <t>49.01.01</t>
  </si>
  <si>
    <t>Γραμμικά διαζώματα (σενάζ) δρομικών τοίχων</t>
  </si>
  <si>
    <t>ΟΙΚ 3213</t>
  </si>
  <si>
    <t>49.01.02</t>
  </si>
  <si>
    <t>Γραμμικά διαζώματα (σενάζ) μπατικών τοίχων</t>
  </si>
  <si>
    <t>49.01.02.Σχ.4</t>
  </si>
  <si>
    <t>Κατασκευή σενάζ από οπλ. σκυρόδεμα διατομής 60 x 25 εκ.</t>
  </si>
  <si>
    <t>52.02</t>
  </si>
  <si>
    <t>Σκελετοί πατωμάτων από δομική ξυλεία</t>
  </si>
  <si>
    <t>52.02.01.Σχ.2</t>
  </si>
  <si>
    <t>Σκελετοί πατωμάτων από πελεκητή ξυλεία καστανιάς και inox σιδηρικά</t>
  </si>
  <si>
    <t>ΟΙΚ 5203</t>
  </si>
  <si>
    <t>52.10.01.Σχ.1</t>
  </si>
  <si>
    <t>Σκελετοί ξυλοπήκτων τοίχων από ξυλεία καστανιάς, πελεκητή</t>
  </si>
  <si>
    <t>ΟΙΚ 5211</t>
  </si>
  <si>
    <t>52.10.01.Σχ.2</t>
  </si>
  <si>
    <t>Σκελετοί εξωστών από ξυλεία καστανιάς, πελεκητή</t>
  </si>
  <si>
    <t>52.13.Σχ.1</t>
  </si>
  <si>
    <t>Πρέκια και ενισχυτικές ζώνες (σενάζ) από ξυλεία καστανιάς και inox σιδηρικά</t>
  </si>
  <si>
    <t>ΟΙΚ 5213</t>
  </si>
  <si>
    <t>52.76</t>
  </si>
  <si>
    <t>Ζευκτά στέγης από απλά στοιχεία δομικής ξυλείας</t>
  </si>
  <si>
    <t>52.76.01.Σχ.4</t>
  </si>
  <si>
    <t>Ζευκτά από ξυλεία καστανιάς πελεκητή με άνοιγμα έως 12 m με  inox σιδηρικά</t>
  </si>
  <si>
    <t>ΟΙΚ 5276</t>
  </si>
  <si>
    <t>52.79</t>
  </si>
  <si>
    <t>Τεγίδωση στέγης από ξυλεία πελεκητή</t>
  </si>
  <si>
    <t>52.79.02.Σχ.1</t>
  </si>
  <si>
    <t>Τεγίδωση από πριστή ξυλεία καστανιάς</t>
  </si>
  <si>
    <t>ΟΙΚ 5280</t>
  </si>
  <si>
    <t>52.80</t>
  </si>
  <si>
    <t>Σανίδωμα στέγης</t>
  </si>
  <si>
    <t>52.80.03.Σχ.1</t>
  </si>
  <si>
    <t>Σανίδωμα στέγης με τάβλες καστανιάς πάχους 3,0 cm και πλάτους 12-15 cm</t>
  </si>
  <si>
    <t>ΟΙΚ 5283</t>
  </si>
  <si>
    <t>52.94.Σχ.1</t>
  </si>
  <si>
    <t xml:space="preserve">Κάλυψη οροφής με σανίδες καστανιάς (πάχους 2 cm) και επεξεργασία αυτών </t>
  </si>
  <si>
    <t>ΟΙΚ 5295</t>
  </si>
  <si>
    <t xml:space="preserve">53. ΞΥΛΙΝΑ ΔΑΠΕΔΑ </t>
  </si>
  <si>
    <t>53.30.01.Σχ.1</t>
  </si>
  <si>
    <t>Δάπεδο ραμποτέ από λωρίδες ξυλείας δρυός πάχους 30 mm</t>
  </si>
  <si>
    <t>ΟΙΚ 5323</t>
  </si>
  <si>
    <t>53.50</t>
  </si>
  <si>
    <t>Σοβατεπιά πλάτους 5 έως 8 cm, πάχους τουλάχιστον 12 mm</t>
  </si>
  <si>
    <t>53.50.03</t>
  </si>
  <si>
    <t>Από ξυλεία τύπου δρυός</t>
  </si>
  <si>
    <t>ΟΙΚ 5353</t>
  </si>
  <si>
    <t>53.50.06.Σχ.2</t>
  </si>
  <si>
    <t>Κορνίζα από ξυλεία δρυός</t>
  </si>
  <si>
    <t>ΟΙΚ 5356</t>
  </si>
  <si>
    <t xml:space="preserve">55. ΚΛΙΜΑΚΟΣΤΑΣΙΑ - ΚΙΓΚΛΙΔΩΜΑΤΑ </t>
  </si>
  <si>
    <t>55.01.01</t>
  </si>
  <si>
    <t>Από ξυλεία δρυός αρίστης ποιότητας</t>
  </si>
  <si>
    <t>ΟΙΚ 5501.1</t>
  </si>
  <si>
    <t>55.10</t>
  </si>
  <si>
    <t>Κιγκλιδώματα κλιμάκων και πλατυσκάλων ευθύγραμμα</t>
  </si>
  <si>
    <t>55.10.01</t>
  </si>
  <si>
    <t>ΟΙΚ 5511.1</t>
  </si>
  <si>
    <t>55.31</t>
  </si>
  <si>
    <t>Χειρολισθήρας ευθύγραμμος διατομής 9x9 cm</t>
  </si>
  <si>
    <t>55.31.01</t>
  </si>
  <si>
    <t>ΟΙΚ 5531.1</t>
  </si>
  <si>
    <t xml:space="preserve">61. ΣΙΔΗΡΟΥΡΓΙΚΑ ΔΙΑΦΟΡΑ </t>
  </si>
  <si>
    <t>61.05</t>
  </si>
  <si>
    <t xml:space="preserve">Φέροντα στοιχεία από σίδηρο- ή κοιλοδοκούς ύψους ή πλευράς έως 160 mm  </t>
  </si>
  <si>
    <t>ΟΙΚ 6104</t>
  </si>
  <si>
    <t>61.12</t>
  </si>
  <si>
    <t>Γωνιόκρανα προστασίας ακμών τοιχοπετασμάτων από γυψοσανίδες</t>
  </si>
  <si>
    <t>ΟΙΚ  6116</t>
  </si>
  <si>
    <t>61.13</t>
  </si>
  <si>
    <t xml:space="preserve">Γωνιόκρανα προστασίας κατακορύφων ακμών επιχρισμάτων </t>
  </si>
  <si>
    <t>ΟΙΚ 6116</t>
  </si>
  <si>
    <t xml:space="preserve">62. ΣΙΔΗΡΑ ΚΟΥΦΩΜΑΤΑ ΚΟΙΝΑ - ΓΚΑΡΑΖΟΠΟΡΤΕΣ </t>
  </si>
  <si>
    <t>62.60.02</t>
  </si>
  <si>
    <t>Θύρες πυρασφαλείας, μονόφυλλες, ανοιγόμενες, χωρίς φεγγίτη, κλάσης πυραντίστασης 60 min</t>
  </si>
  <si>
    <t>ΟΙΚ 6236</t>
  </si>
  <si>
    <t xml:space="preserve">64.  ΚΙΓΚΛΙΔΩΜΑΤΑ ΣΙΔΗΡΑ - ΠΕΡΙΦΡΑΓΜΑΤΑ </t>
  </si>
  <si>
    <t>64.01.02</t>
  </si>
  <si>
    <t>Συνθέτου σχεδίου από ευθύγραμμες και καμπύλες ράβδους</t>
  </si>
  <si>
    <t>ΟΙΚ 6402</t>
  </si>
  <si>
    <t>73.  ΕΠΙΣΤΡΩΣΕΙΣ - ΕΠΕΝΔΥΣΕΙΣ</t>
  </si>
  <si>
    <t>73.12</t>
  </si>
  <si>
    <t>Επιστρώσεις με χονδρόπλακες ορθογωνισμένες</t>
  </si>
  <si>
    <t>ΟΙΚ 7312</t>
  </si>
  <si>
    <t>73.12.Σχ.1</t>
  </si>
  <si>
    <t>Επιστρώσεις βαθμίδων σκάλας με χονδρόπλακες ορθογωνισμένες</t>
  </si>
  <si>
    <t>73.33.01</t>
  </si>
  <si>
    <t>Επιστρώσεις δαπέδων με πλακίδια GROUP 4, διαστάσεων 20x20 cm</t>
  </si>
  <si>
    <t>ΟΙΚ 7331</t>
  </si>
  <si>
    <t>73.34.01</t>
  </si>
  <si>
    <t>Επενδύσεις τοίχων με πλακίδια GROUP 1, διαστάσεων 20x20 cm</t>
  </si>
  <si>
    <t>ΟΙΚ 7326.1</t>
  </si>
  <si>
    <t>73.47</t>
  </si>
  <si>
    <t>Περιθώρια δώματος (λούκια)</t>
  </si>
  <si>
    <t>ΟΙΚ 7347</t>
  </si>
  <si>
    <t>75.01.04</t>
  </si>
  <si>
    <t>Kατώφλια από μάρμαρο σκληρό έως εξαιρετικά σκληρό, πάχους 3 cm και πλάτους 11 - 30 cm</t>
  </si>
  <si>
    <t>ΟΙΚ 7508</t>
  </si>
  <si>
    <t>75.31</t>
  </si>
  <si>
    <t>Ποδιές παραθύρων από μάρμαρο</t>
  </si>
  <si>
    <t>75.31.04.Σχ.2</t>
  </si>
  <si>
    <t>Ποδιές παραθύρων από χοντρόπλακες</t>
  </si>
  <si>
    <t>ΟΙΚ 7534</t>
  </si>
  <si>
    <t xml:space="preserve">79. ΜΟΝΩΣΕΙΣ ΥΓΡΑΣΙΑΣ - ΗΧΟΥ - ΘΕΡΜΟΤΗΤΟΣ </t>
  </si>
  <si>
    <t>79.04.Σχ1</t>
  </si>
  <si>
    <t>Επάλειψη επιφανειών σκυροδέματος με υδροφοβικό υλικό σιλένιου</t>
  </si>
  <si>
    <t>ΟΙΚ 7902</t>
  </si>
  <si>
    <t>79.10</t>
  </si>
  <si>
    <t>Επίστρωση με ελαστομερή υδρατμοπερατή μεμβράνη</t>
  </si>
  <si>
    <t>ΟΙΚ 7912</t>
  </si>
  <si>
    <t>79.21</t>
  </si>
  <si>
    <t xml:space="preserve">Στεγανωτικό μάζης σκυροδέματος </t>
  </si>
  <si>
    <t>ΟΙΚ 7921</t>
  </si>
  <si>
    <t>79.22</t>
  </si>
  <si>
    <t>Πλαστικοποιητικό πρόσθετο σκυροδεμάτων</t>
  </si>
  <si>
    <t>ΟΙΚ 7922</t>
  </si>
  <si>
    <t>79.40.Σχ.1</t>
  </si>
  <si>
    <t>Επένδυση τοίχων με πλάκες πετροβάμβακα 5cm - 100 kgr/m3</t>
  </si>
  <si>
    <t>ΟΙΚ 7940</t>
  </si>
  <si>
    <t>80 - 89</t>
  </si>
  <si>
    <t>80. ΕΙΔΙΚΑ ΑΡΘΡΑ</t>
  </si>
  <si>
    <t>80.61.Σχ.2</t>
  </si>
  <si>
    <t>Γλάστρα ομβρίων χάλκινη</t>
  </si>
  <si>
    <t>ΑΤΗΕ 8061.2</t>
  </si>
  <si>
    <t>80.62.1.Σχ.2</t>
  </si>
  <si>
    <t>Υδρορροή οριζόντια χάλκινη</t>
  </si>
  <si>
    <t>ΑΤΗΕ 8062.1</t>
  </si>
  <si>
    <t>80.62.2.Σχ.2</t>
  </si>
  <si>
    <t>Υδρορροή κατακόρυφη χάλκινη</t>
  </si>
  <si>
    <t>ΑΤΗΕ 8062.3</t>
  </si>
  <si>
    <t>54.20.01.Σχ.3</t>
  </si>
  <si>
    <t xml:space="preserve">Υαλοστάσια (τζαμλίκια ή παράθυρα χωρίς παντούρια) μεγάλα (&gt;1m2) από ξυλεία καστανιάς ανοιγόμενα, οριζόντια ή κατακόρυφα  περιστρεφόμενα, πολύφυλλα.  </t>
  </si>
  <si>
    <t>ΟΙΚ 5423</t>
  </si>
  <si>
    <t>54.20.01.ΣΧχ.4</t>
  </si>
  <si>
    <t xml:space="preserve">Υαλοστάσια (τζαμλίκια ή παράθυρα χωρίς παντούρια) μικρά (&lt;1m2) από ξυλεία καστανιάς ανοιγόμενα, οριζόντια ή κατακόρυφα περιστρεφόμενα, πολύφυλλα. </t>
  </si>
  <si>
    <t>ΟΙΚ 5424</t>
  </si>
  <si>
    <t>76.27.02</t>
  </si>
  <si>
    <t>Διπλοί υαλοπίνακες συνολικού πάχους 22 mm, (κρύσταλλο 5 mm, κενό 12 mm, κρύσταλλο 5 mm)</t>
  </si>
  <si>
    <t>ΟΙΚ 7690.2</t>
  </si>
  <si>
    <t>54.51.Σχ.1</t>
  </si>
  <si>
    <t>Θύρες εξωτερικές ή εσωτερικές, ταμπλαδωτές, από ξυλεία καστανιάς με κάσα μπατική</t>
  </si>
  <si>
    <t>ΟΙΚ 5451.1</t>
  </si>
  <si>
    <t>20.20</t>
  </si>
  <si>
    <t>Εξυγιαντικές στρώσεις με θραυστό υλικό λατομείου</t>
  </si>
  <si>
    <t>ΟΙΚ-2162</t>
  </si>
  <si>
    <t>75. ΛΟΙΠΑ ΜΑΡΜΑΡΙΚΑ</t>
  </si>
  <si>
    <r>
      <t xml:space="preserve">Τσιμεντένεση ειδικών προδιαγραφών                         </t>
    </r>
    <r>
      <rPr>
        <b/>
        <sz val="10"/>
        <color indexed="10"/>
        <rFont val="Arial Narrow"/>
        <family val="2"/>
        <charset val="161"/>
      </rPr>
      <t xml:space="preserve"> </t>
    </r>
  </si>
  <si>
    <t>α/α</t>
  </si>
  <si>
    <t>1,6*1,75*1,2</t>
  </si>
  <si>
    <t>15,88+12,89+12,56+15,77</t>
  </si>
  <si>
    <t>(Εξωτ. Τοιχοποιία :ΒΔ όψη 129,79 ΝΑ όψη 205,92 ΝΔ όψη 315,77 ΒΑ όψη 134,01)*0,0064</t>
  </si>
  <si>
    <t>0,3*54,724</t>
  </si>
  <si>
    <t>Όροφος (0,15*3,45+0,15*6,15+0,15*5,15+0,15*2,25+0,15*2,60)*3,45</t>
  </si>
  <si>
    <t>ΒΔ όψη 1,48+1,45+1,48=4,41 ΝΑ όψη 1,48+0,96=2,44 ΝΔ όψη 1,48 ΒΑ όψη 0,89</t>
  </si>
  <si>
    <t xml:space="preserve">Κλίμακες ΝΔ Όψης 0,30*0,90*0,16*5+0,30*0,90*0,17*3+0,90*0,30*0,17*7 </t>
  </si>
  <si>
    <t>22.10</t>
  </si>
  <si>
    <t xml:space="preserve">Καθαίρεση μεμονωμένων στοιχείων κατασκευών από άοπλο σκυρόδεμα </t>
  </si>
  <si>
    <t>0,3*0,3*5+0,3*0,3*3,85</t>
  </si>
  <si>
    <t>Εξώστες Ορόφου 4,01*2,08+2,20*1,77+1*3,64</t>
  </si>
  <si>
    <t>(0,75+1,25)*1</t>
  </si>
  <si>
    <t>6,75*9,80</t>
  </si>
  <si>
    <t>1.Εσωτερική τοιχοποιία:Υπόγειο 325,42 - Ισόγειο 336,89 - Όροφος 145,59 2.Εξωτερική τοιχοποιία: ΒΔ όψη 110,64 3.Οροφή υπογείου 136,83 Οροφή Ισογείου 34,939+17,099=52,04 - Οροφή ορόφου 18,386+15,077+16,302+18,787=68,55</t>
  </si>
  <si>
    <t>1.Εσωτερική τοιχοποιία:Υπόγειο 325,42 - Ισόγειο 336,89 - Όροφος 145,59 2.Εξωτερική τοιχοποιία: ΒΔ όψη 129,79 - ΝΑ όψη 205,92 - ΝΔ όψη 315,77 - ΒΑ όψη 134,10 3.Οροφή Ισογείου 34,939+17,099=52,04 - Οροφή ορόφου 18,386+15,077+16,302+18,787=68,55</t>
  </si>
  <si>
    <t xml:space="preserve">1.Εσωτερική τοιχοποιία:Υπόγειο 325,42  2.Εξωτερική τοιχοποιία: ΒΔ όψη 129,79 - ΝΑ όψη 205,92 - ΝΔ όψη 315,77 - ΒΑ όψη 134,10 </t>
  </si>
  <si>
    <t>1(υπ)+1(ισ)</t>
  </si>
  <si>
    <t xml:space="preserve">ΒΔ όψη 94,76 ΝΑ όψη 104,68 ΝΔ όψη 68,84 ΒΑ όψη 80,17 </t>
  </si>
  <si>
    <t xml:space="preserve">Υπόγειο  (θύρες+παράθυρα) 19,76 Ισόγειο (θύρες+παράθυρα) 52,60 Όροφος(θύρες+παράθυρα) 59,38 </t>
  </si>
  <si>
    <t>16,5*15,30</t>
  </si>
  <si>
    <t>Ισόγειο 3,75*0,12*3,30+2,00*0,12*3,30  Όροφος (0,15*2,83)*3,45</t>
  </si>
  <si>
    <t>(ΒΔ όψη (3,30/0,10)*0,02^2*1 ΝΑ όψη ((3,57+1+1)/0,1)*0,02^2*1 ΝΔ όψη ((2,20+1,77)/0,1)*0,02^2*1)*7850</t>
  </si>
  <si>
    <t>3*0,6</t>
  </si>
  <si>
    <t xml:space="preserve">Υπόγειο:((11,20+11,14)*3,12)/2+((5,05+5,08)*3,48)/2+((2,88+2,99)*5,04)/2+((5,01+4,98)*3,36)/2+(4,97*7,03)+((3,54+3,64)*4,97)/2=136,83 Ισόγειο:((11,20+11,14)*3,12)/2 +((5,05+5,08)*3,58)/2+((1,01+1,05)*0,50)/2+(0,70*2,05)/2+((2,63+2,74)*1,94)/2+(1,21*2,63)/2+(3,20+3,06)*3,47/2+1,72*3,65/2+(3,75*1,93)+(2,93*3,75)+((0,90+0,85)*0,50)/2+((5,05+3,96)*3,48)/2 + ((1,00+0,92)*0,50)/2+(4,97*7,03)+((2,17+2,41)*2,93)/2+(2,25*0,91)+((1,49*2,06)-(0,24*0,15)) </t>
  </si>
  <si>
    <t xml:space="preserve"> Όροφος (0,15*3,45+0,15*6,15+0,15*5,15+0,15*2,25+0,15*2,60)*3,45</t>
  </si>
  <si>
    <t xml:space="preserve">Εξωτ. Τοιχοποιία :ΒΔ όψη 129,79 ΝΑ όψη 205,92 ΝΔ όψη 315,77 ΒΑ όψη 134,01 </t>
  </si>
  <si>
    <t>Εσωτ.Επιφάνειες: Υπόγειο 325,42 Ισόγειο 336,88 Όροφος 148,59</t>
  </si>
  <si>
    <t>Εξωτ. Δάπεδα+ Σκάλες+ Ράμπα ((3,72+5,49)*0,5*9,58+15,61*2,78)*3,24</t>
  </si>
  <si>
    <t>97*3,9+1,85*1,7+2*7,1*1</t>
  </si>
  <si>
    <t>Τοίχοι Αντιστήριξης Νότιας περιοχής: (2,20+0,85)*0,50*2,96+(6,16+6,75)*0,50*0,88</t>
  </si>
  <si>
    <t>(10,26-3,12)*1*0,75+(10,26-3,33)*1*0,75+(10,26-0,70)*1*0,75+(10,26-2,96)*1*0,75</t>
  </si>
  <si>
    <t>[(0,35*0,22*1,60*25)+(3,03*3,33*1,60)+((2,72*4,20)/2)*1,60+((2,84*4,20)/2)*1,60-(2*1,70+0,77)*1,60-(0,81*1+0,39)*1,60]*0,65</t>
  </si>
  <si>
    <t>Υπόγειο (1,89+1,75)*3 Ισόγειο (1,89+1,75)*3,30 Όροφος (1,89+1,75)*3,45</t>
  </si>
  <si>
    <t>2*2,45</t>
  </si>
  <si>
    <t>Υπόγειο 3,36+1,88+1,2+1+1,81+1 Ισόγειο 1,81*2+0,34+0,2</t>
  </si>
  <si>
    <t>Υπόγειο 1,89+1,75 Ισόγειο 1,89+1,75+1,89+1,75</t>
  </si>
  <si>
    <t>(((12,89-0,80)/0,60)*0,15^2)*2 + (((15,88-0,80)/0,60*0,15^2))*2+6*15,88*0,15^2+6*12,89*0,15^2</t>
  </si>
  <si>
    <t xml:space="preserve">ΒΔ όψη 0,49 ΝΑ όψη 0,96 ΝΔ όψη 0,43 ΒΑ όψη 0,52 </t>
  </si>
  <si>
    <t>Ισόγειο (3,58*2+5,08*2+4,98+7,38+4,55+1,61+1,07+4,98+2*3,12+11,14+9,90+4,97*2+7,03*2)*2 Όροφος (3,63*2+5,08*2+7,28+4,98+1,37*4+4,01+5,13+7,37+5,13+3,81+4,01+3,63+4,97+3,85+3,07+1,88+1,34)</t>
  </si>
  <si>
    <t>1,04+1,04+1,04+2,04*2+2,04+1,96+1,86+1,16+1,68+1,59  + 1,63+1,42*2+1,73+1,86+1,89+1,4*3+1,68+1,7+2,4</t>
  </si>
  <si>
    <t>3,6+2,2+2,2 + 2,76+2,86+2,38+2,16+2,04+1,51+1,65+2,2*2+1,98*2+1,82+2,08+3,36+1,85+ 2,53+3,08+4,44+9,22+9,22</t>
  </si>
  <si>
    <t>Σκάλα Ισογείου προς Όροφο 1,45+3,40</t>
  </si>
  <si>
    <t>Όροφος 2*3,45</t>
  </si>
  <si>
    <t>Υπόγειο (0,90+1,40+1+1,40+0,90)*2,10+4*0,90*2,20</t>
  </si>
  <si>
    <t>WC Yπογείου: 3,78*1,26+1,39*0,50+1,81*1*2 WC Ισογείου: 3,78*1,26+1,39*0,50+1,81*1*2+3,08*1,68</t>
  </si>
  <si>
    <t>WC Yπογείου: (5,57+2,07+1,81+0,17+0,23+0,33+0,52)*2,95+1,88*1,95 WC Ισογείου:  (5,57+2,07+1,81+0,17+0,23+0,33+0,52)*2,95+1,88*1,95+(1,68+3,08+1,5+2,1)*2,95</t>
  </si>
  <si>
    <t>Περίμετρος 15,88+12,89+12,56+15,77</t>
  </si>
  <si>
    <t>ΒΔ Όψη (1,1*2+0,8)*0,3 ΝΑ Όψη (1,74+1,17)*0,3 ΝΔ Όψη 1,74*0,3</t>
  </si>
  <si>
    <t>0,8*46,42</t>
  </si>
  <si>
    <t>Επιφ.Πετσώματος Στέγης :16,46*13,49</t>
  </si>
  <si>
    <t>Γυψοσανίδες Ορόφ 3,45*(5,20+2,48) Σαχνισί 2*(0,8+0,69*0,28)*2*3,45</t>
  </si>
  <si>
    <t>7,32+9,74+9,74+7,26</t>
  </si>
  <si>
    <t>σ</t>
  </si>
  <si>
    <t xml:space="preserve">Αντιρήδες (0,95 * 0,08 * 0,08)*86 +
(1,66 * 0,10 * 0,10)*10                                                                                                           Ποταμοί Βόρειος,Νότιος 9,75*0,10*0,10  Ανατολικός,Δυτικός 6,74*0,10*0,10 Ανατολικός,Δυτικός 8,13*0,12*0,10 Αμείβοντες Δυτικού Κλίνους ((0,97+1,61+2,39+3,38+4,10+4,74+5,38+6,02+6,00+5,27+4,81+4,03+3,14+2,48+1,82+1,17)*0,08*0,12)+(6,80*0,12*0,12)
 Αμείβοντες Βορεινού Κλίνους ((0,90+1,69+2,46+3,37+4,04+4,64+5,24+5,85+6,63+6,63+6,63+5,83+5,21+4,59+3,98+3,35+2,35+1,55+0,76)*0,08*0,12)+((6,63+6,63)*0,12*0,12)
 Αμείβοντες Ανατολικού κλίνους ((0,93+1,57+3,24+3,49+4,10+4,74+5,37+6,02+6,02+5,16+4,12+3,26+2,63+2,00+1,36)*0,08*0,12)+6,80*0,12*0,12
 Αμέιβοντες Νότιου Κλίνους ((1,18+1,94+2,70+3,25+4,25+4,84+5,44+6,03+6,81+6,83+6,84+6,07+5,46+4,87+4,26+3,20+2,42+1,65)*0,08*0,12)+((6,80+6,85)*0,12*0,12)
Κόρφιας  (2,83 * 0,12 * 0,12) 
 Στρωτήρες (0,79+1,53+2,27+2,80+3,76+4,38+4,92+5,61+12,71+12,72+12,74+5,62+4,95+4,37+3,78+2,75+2,00+1,37+1,36+1,86+2,47+3,08+3,90+4,91+5,73+5,71+
+5,09+4,50+3,90+3,28+2,30+1,53+0,76+0,91+1,51+2,18+3,31+3,91+4,51+5,11+5,71+5,71+5,11+4,51+3,91+3,23+2,29+1,54+0,91+0,87+1,62+2,38+3,27+
+3,93+4,53+5,12+5,74+5,73+4,90+4,54+3,93+2,96+2,33+1,69+1,05+5*12,91+5*12,92+4*12,94)*0,08*0,12+(6,5112,69+12,75+6,49)*0,12*0,12
</t>
  </si>
  <si>
    <t>(15,80/0,30+1)*16,88*0,05^2</t>
  </si>
  <si>
    <t>17,46*14,49*1,2</t>
  </si>
  <si>
    <t>17,46*14,49</t>
  </si>
  <si>
    <t>32. ΣΚΥΡΟΔΕΤΗΣΕΙΣ</t>
  </si>
  <si>
    <t>42. ΤΟΙΧΟΠΟΙΪΕΣ</t>
  </si>
  <si>
    <t xml:space="preserve">52. </t>
  </si>
  <si>
    <t>52. ΞΥΛΙΝΑ ΠΑΤΩΜΑΤΑ - ΤΟΙΧΟΙ - ΟΡΟΦΕΣ</t>
  </si>
  <si>
    <t>76. ΥΑΛΟΥΡΓΙΚΑ</t>
  </si>
  <si>
    <t>130 μέρες * 8 ώρες</t>
  </si>
  <si>
    <t xml:space="preserve"> Ισόγειο:((11,20+11,14)*5,92)/2 +((5,05+5,08)*3,58)/2+((1,01+1,05)*0,50)/2+(0,70*2,05)/2+((2,63+2,74)*1,94)/2+(1,21*2,63)/2+(3,20+3,06)*3,47/2+1,72*3,65/2+(3,75*1,93)+(2,93*3,75)+((0,90+0,85)*0,50)/2+((5,05+3,96)*3,48)/2 + ((1,00+0,92)*0,50)/2+(4,97*7,03)+((2,17+2,41)*2,93)/2+(2,25*0,91)+((1,49*2,06)-(0,24*0,15)) 
+((1,33+1,15)*2,91)/2+(1,00*0,60)+(1,00*1,10)=154,64   Όροφος: ((9,76+9,84)*5,98)/2  -3,35 + ((5,05+5,08)*3,63)/2+(5,11*0,92)/2+(5,11*0,90)/2+(4,21*1,32)/2+(4,21*1,32)/2+(3,61*1,10)/2+(3,61*1,02)/2+(0,57*0,65)+(1,16*0,58)  +15,077+(1,57*1,60)+ (1,93*3,75)+(2,93*3,75)+((3,93+3,96)*4,97)/2 + (4,97*3,28)+((3,71+3,85)*4,97)/2 =144,84                  </t>
  </si>
  <si>
    <t>Οροφή Ισογείου (3,75*1,93)+(2,93*3,75)+((5,05+3,96)*3,48)/2-(1,06*2,40)+((5,05+5,08)*3,58))/2+((1,01+1,05)*0,50)/2+((11,20+11,14)*3,12)/2)-3,35 Οροφή Ορόφου (1,93*3,75)+(2,93*3,75)+((12,07+11,98)*4,01)/2+((12,07+11,98)*4,01)/2+((3,93+3,96)*5,13)/2</t>
  </si>
  <si>
    <t>Κλίμακες και Ράμπα ΝΑ όψης (5,50+2,40+1,80+2,40+3,25)*1,20*0,20</t>
  </si>
  <si>
    <t>0,19*(((12,89+15,88+15,77+12,56)*12,79-15,81-17,96-3,24-5,01)*0,8)*1000</t>
  </si>
  <si>
    <t>Ενίσχυση Θεμελίωσης 12,56*1,40*2+15,77*1,40*2+12,89*1,40*2+15,88*1,40*2+5,01*1,40*4*2+11,14*1,40*4*2+5*1,40*2+5*1,40*4 Ανελκυστήρας 1,85*10,34*2+1,70*10,34*2 Κλίμακες Νότιας Περιοχης 10</t>
  </si>
  <si>
    <t>Όγκος ξυλείας Ζευκτού: (0,08*0,16)*(7,9*2+12,55)+0,08^2*(2+2*3,58+2,55*2+1,67*2+2,42*2)  Πλήθος Ζευκτών: 16</t>
  </si>
  <si>
    <t>Ισόγειο 3,58*2+5,08*2+7,39*2+4,98*2+2,18+11,20+3,12+4,75+1,41+7,03*2+4,97*2+7,20*2 Όροφος 7,37+3,85+4,97+4,01+5,08*2+3,63+6,02+4,98+1,42+1,42+5,13+0,621+1,88*2+3,07+5,12+2,42*2+1,60+7,45*2+9,27</t>
  </si>
  <si>
    <t>(270,51+51,69+2,33)(m3 σκυροδέματος)*1,85(kg στεγνοποιητικού μάζας/m3)</t>
  </si>
  <si>
    <t>(270,51+51,69+2,33)(m3 σκυροδέματος)*1,85(kg πλαστικοποιητικό μάζας/m3)</t>
  </si>
  <si>
    <t>ΚΑΤΗΓΟΡΙΑ Α : ΟΙΚΟΔΟΜΙΚΑ</t>
  </si>
  <si>
    <t>ΚΑΤΗΓΟΡΙΑ Β : ΗΛΜ</t>
  </si>
  <si>
    <t>ΣΥΛΛΕΚΤΗΡΙΟΣ ΑΓΩΓΟΣ Φ8 AlMgSi</t>
  </si>
  <si>
    <t>ΑΚΙΔΑ ΑΛΕΞΙΚΕΡΑΥΝΟΥ Φ16Χ600 ΜΕΤΑ ΤΗΣ ΒΑΣΗΣ ΤΗΣ</t>
  </si>
  <si>
    <t>ΣΤΗΡΙΓΜΑ ΣΥΛΛΕΚΤΗΡΙΟΥ ΑΓΩΓΟΥ Φ8/Μ8 St/tZn ΚΑΤΑΚΟΡΥΦΟ</t>
  </si>
  <si>
    <t>ΣΤΗΡΙΓΜΑ ΣΥΛΛΕΚΤΗΡΙΟΥ ΑΓΩΓΟΥ Φ8/Μ8 St/tZn ΚΕΡΑΜΩΝ</t>
  </si>
  <si>
    <t xml:space="preserve">ΠΕΡΙΜΕΤΡΙΚΗ ΛΑΜΑ ΓΕΙΩΣΕΩΣ ΧΑΛΚΟΥ 30Χ3 </t>
  </si>
  <si>
    <t>ΣΥΝΔΕΣΜΟΣ ΔΙΜΕΡΗΣ ΛΑΜΑΣ ΧΑΛΚΟΥ ΓΕΙΙΩΣΗΣ &amp; ΑΓΩΓΟΥ</t>
  </si>
  <si>
    <t>ΣΥΝΔΕΣΜΟΣ ΕΛΕΓΧΟΥ ΚΑΘΟΔΟΥ ΑΛΕΞΙΚΕΡΑΥΝΟΥ</t>
  </si>
  <si>
    <t>ΔΙΜΕΤΑΛΛΙΚΟ ΕΛΑΣΜΑ COPAL</t>
  </si>
  <si>
    <t>ΗΛΕΚΤΡΟΔΙΟ ΓΕΙΩΣΗΣ ΧΑΛΚΟΥ ΜΕ ΨΥΧΑ ΧΑΛΥΒΑ COPPERWELD</t>
  </si>
  <si>
    <t>ΑΝΤΙΚΕΡΑΥΝΙΚΟ ΠΡΟΣΤΑΣΙΑΣ ΥΠΕΡΤΑΣΕΩΝ Τ1+Τ2 REYCAP</t>
  </si>
  <si>
    <t>ΑΝΤΙΚΕΡΑΥΝΙΚΟ DATA ΠΡΟΣΤΑΣΙΑΣ THΛEΦΩNIKΩN ΔIKTΥΩΝ</t>
  </si>
  <si>
    <t>μ.μ.</t>
  </si>
  <si>
    <t>χγρ.</t>
  </si>
  <si>
    <t xml:space="preserve">RACK 12U ΤΕΧΝΗΤΑ ΑΕΡΙΖΟΜΕΝΟ </t>
  </si>
  <si>
    <t>ΤΗΛΕΦΩΝΙΚΟΣ ΚΑΤΑΝΕΜΗΤΗΣ 20΄΄</t>
  </si>
  <si>
    <t>ΠΡΙΖΑ ΧΩΝΕΥΤΗ DATA RJ45</t>
  </si>
  <si>
    <t>ΠΡΙΖΑ ΧΩΝΕΥΤΗ ΤΗΛΕΦΩΝΟΥ RJ11</t>
  </si>
  <si>
    <t>ΚΑΛΩΔΙΟ FTP 20΄΄ CAT6 OΠΛΙΣΜΕΝΟ</t>
  </si>
  <si>
    <t>ΚΑΛΩΔΙΟ FTP 10΄΄ CAT6 OΠΛΙΣΜΕΝΟ ΓΙΑ ΥΠΟΓΕΙΑ ΤΟΠΟΘΕΤΗΣΗ</t>
  </si>
  <si>
    <t>ΚΑΛΩΔΙΟ FTP 4΄΄ CAT6 OΠΛΙΣΜΕΝΟ</t>
  </si>
  <si>
    <t>ΕΠΙΤΡΑΠΕΖΙΑ ΤΗΛΕΦΩΝΙΚΗ ΣΥΣΚΕΥΗ ΜΕ ΠΛΗΚΤΡΟΛΟΓΙΟ</t>
  </si>
  <si>
    <t>Εκσκαφή χάνδακα σε έδαφος ημιβραχώδες</t>
  </si>
  <si>
    <t>Φρεάτιο ελέγχου αποχέτευσης 50Χ60</t>
  </si>
  <si>
    <t>Φρεάτιο αποχέτευσης 80Χ90 μηχανοσίφωνα</t>
  </si>
  <si>
    <t>Καλύμματα χυτοσιδηρά διπλά φρεατίων 40Χ40  &amp; 60Χ60</t>
  </si>
  <si>
    <t xml:space="preserve">Εγκιβωτισμός σωληνώσεων με άμμο </t>
  </si>
  <si>
    <t>Πλαστική σωλήνα Φ 160</t>
  </si>
  <si>
    <t>Πλαστική σωλήνα Φ 125</t>
  </si>
  <si>
    <t>Πλαστική σωλήνα Φ 100</t>
  </si>
  <si>
    <t>Πλαστική σωλήνα Φ 75</t>
  </si>
  <si>
    <t>Πλαστική σωλήνα Φ 50</t>
  </si>
  <si>
    <t>Πλαστική σωλήνα Φ 40</t>
  </si>
  <si>
    <t>Συρμάτινη κεφαλή</t>
  </si>
  <si>
    <t>Πλαστικός μηχανοσίφωνας Φ 160</t>
  </si>
  <si>
    <t xml:space="preserve">Λεκάνη WC ευρωπαϊκού τύπου </t>
  </si>
  <si>
    <t>Λεκάνη WC ευρωπαϊκού τύπου ΑΜΕΑ ΙDEAL STANDARD ATLANTIS</t>
  </si>
  <si>
    <t>Δοχείο πλύσεως χαμηλής πίεσης κατάλληλο για τοποθέτηση σε λεκάνη W.C. AMEA</t>
  </si>
  <si>
    <t>Aνατομικό κάθισμα λεκάνης W.C. AMEA</t>
  </si>
  <si>
    <t>Ακρυλικό κάλυμμα W.C. AMEA</t>
  </si>
  <si>
    <t>Σετ χειρολαβών AMEA</t>
  </si>
  <si>
    <t>Νιπτήρας πορσελάνης 50Χ68</t>
  </si>
  <si>
    <t>Νιπτήρας πορσελάνης ΑΜΕΑ</t>
  </si>
  <si>
    <t>Καθρέπτης 4mm μπιζουτέ</t>
  </si>
  <si>
    <t>Καθρέπτης 4mm μπιζουτέ με ανάκληση κατάλληλος για ΑΜΕΑ 65Χ65</t>
  </si>
  <si>
    <t>Εταζέρα</t>
  </si>
  <si>
    <t>Δοχείο υγρού σάπωνα</t>
  </si>
  <si>
    <t>Πετσετοθήκη διπλή ορειχάλκινη</t>
  </si>
  <si>
    <t>Ηλεκτρική συσκευή στεγνώματος χεριών</t>
  </si>
  <si>
    <t>Χαρτοθήκη INOX</t>
  </si>
  <si>
    <t>Κάθισμα λεκάνης WC</t>
  </si>
  <si>
    <t>Θερμομικτική μπαταρία νιπτήρα</t>
  </si>
  <si>
    <t>Θερμομικτική μπαταρία νιπτήρα ΑΜΕΑ</t>
  </si>
  <si>
    <t>Θερμομικτική μπαταρία νεροχύτη</t>
  </si>
  <si>
    <t>Σιφόνι δαπέδου Φ 100 με εσχάρα κόφτρα</t>
  </si>
  <si>
    <t>Ηλεκτρικός θερμοσίφωνας 80 lit - 4.000 Watts</t>
  </si>
  <si>
    <t>Ηλεκτρικός θερμοσίφωνας 50 lit - 3.000 Watts</t>
  </si>
  <si>
    <t>Νεροχύτης κυλικείου 35Χ40Χ1.80</t>
  </si>
  <si>
    <t>Ψύκτης νερού αυτοτελής</t>
  </si>
  <si>
    <t>Υδρορροή ημικυκλικής διατομής οριζόντια</t>
  </si>
  <si>
    <t>Υδρορροή κυκλικής διατομής κατακόρυφη</t>
  </si>
  <si>
    <t>kgr</t>
  </si>
  <si>
    <t>ΕΚΣΚΑΦΗ ΧΑΝΔΑΚΑ ΣΕ ΓΑΙΩΔΕΣ ή ΗΜΙΒΡΑΧΩΔΕΣ ΕΔΑΦΟΣ</t>
  </si>
  <si>
    <t>ΦΡΕΑΤΙΟ ΕΠΙΣΚΕΨΗΣ40Χ50</t>
  </si>
  <si>
    <t>XYTOΣΙΔΗΡΑ ΚΑΛΥΜΑΤΑ</t>
  </si>
  <si>
    <t>ΣΩΛΗΝΑΣ ΠΟΛΥΠΡΟΠΥΛΕΝΙΟΥ ΡΡ-R80 DN40</t>
  </si>
  <si>
    <t>ΣΩΛΗΝΑΣ ΠΟΛΥΠΡΟΠΥΛΕΝΙΟΥ ΡΡ-R80 DN25</t>
  </si>
  <si>
    <t>ΣΩΛΗΝΑΣ ΔIKTYΩMENOY ΠOΛYAIΘYΛENIOY Φ18X2</t>
  </si>
  <si>
    <t>ΣΩΛΗΝΑΣ ΕΞΩΤΕΡΙΚΟΣ ΣΠΙΡΑΛ ΠΡΟΣΤΑΣΙΑΣ Φ29</t>
  </si>
  <si>
    <t>ΗΛΕΚΤΡΟΒΑΝΑ Φ11/2΄΄</t>
  </si>
  <si>
    <t>ΒΑΛΒΙΔΑ ΑΝΤΕΠΙΣΤΡΟΦΗΣ ΟΡΕΙΧΑΛΚΙΝΗ Φ11/2΄΄</t>
  </si>
  <si>
    <t>ΗΛΕΚΤΡΟΒΑΝΑ Φ1΄΄</t>
  </si>
  <si>
    <t>ΚΡΟΥΝΟΣ ΟΡΕΙΧΑΛΚΙΝΟΣ Φ 1/2΄΄</t>
  </si>
  <si>
    <t>ΒΑΛΒΙΔΑ ΔΙΑΚΟΠΗΣ ΤΥΠΟΥ ΚΑΜΠΑΝΑΣ ΟΡΕΙΧΑΛΚΙΝΗ Φ3/4΄΄</t>
  </si>
  <si>
    <t>ΚΡΟΥΝΟΣ ΟΡΕΙΧΑΛΚΙΝΟΣ Φ1 1/2΄΄</t>
  </si>
  <si>
    <t>ΒΑΛΒΙΔΑ ΔΙΑΚΟΠΗΣ ΓΩΝΙΑΚΗ ΟΡΕΙΧΑΛΚΙΝΗ Φ 1/2΄΄</t>
  </si>
  <si>
    <t>ΓΩΝΙΑ ΥΔΡΟΛΗΨΙΑΣ Φ18Χ2Χ1/2΄΄</t>
  </si>
  <si>
    <t>ΠΙΝΑΚΑΣ ΠΤΥΣΣΟΜΕΝΟΣ ΥΔΡΟΛΗΨΙΑΣ ΔΙΑΣΤΑΣΕΩΝ 70Χ50Χ11</t>
  </si>
  <si>
    <t>ΠΙΝΑΚΑΣ ΠΤΥΣΣΟΜΕΝΟΣ ΥΔΡΟΛΗΨΙΑΣ ΔΙΑΣΤΑΣΕΩΝ 70Χ60Χ11</t>
  </si>
  <si>
    <t>ΠΙΝΑΚΑΣ ΠΤΥΣΣΟΜΕΝΟΣ ΥΔΡΟΛΗΨΙΑΣ ΔΙΑΣΤΑΣΕΩΝ 70Χ70Χ11</t>
  </si>
  <si>
    <t>ΣΥΛΛΕΚΤΗΣ ΨΥΧΡΟΥ ΝΕΡΟΥ 4 ΠΑΡΟΧΩΝ Φ1΄΄΄ ΜΕ ΡΥΘΜΙΣΤΙΚΟΣ</t>
  </si>
  <si>
    <t>ΣΥΛΛΕΚΤΗΣ ΨΥΧΡΟΥ ΝΕΡΟΥ 3 ΠΑΡΟΧΩΝ Φ1΄΄΄ ΜΕ ΡΥΘΜΙΣΤΙΚΟΣ</t>
  </si>
  <si>
    <t>ΣΥΛΛΕΚΤΗΣ ΨΥΧΡΟΥ ΝΕΡΟΥ 2 ΠΑΡΟΧΩΝ Φ1΄΄΄ ΜΕ ΡΥΘΜΙΣΤΙΚΟΣ</t>
  </si>
  <si>
    <t>ΣΥΛΛΕΚΤΗΣ ΘΕΡΜΟΥ ΝΕΡΟΥ 4 ΠΑΡΟΧΩΝ Φ1΄΄΄ ΜΕ ΡΥΘΜΙΣΤΙΚΟΣ</t>
  </si>
  <si>
    <t>ΤΕΡΜΑΤΙΚΗ ΤΑΠΑ ΣΥΛΛΕΚΤΟΥ Φ1΄΄</t>
  </si>
  <si>
    <t>ΗΛΕΚΤΡΙΚΟΣ ΘΕΡΜΟΣΙΦΩΝ 80L/4KW, ΔΙΠΛΗΣ ΕΝΕΡΓΕΙΑΣ</t>
  </si>
  <si>
    <t>Κγρ</t>
  </si>
  <si>
    <t>Γενικός Ηλκετρ. πίνακας μεταλλικός επίτοιχος κτιρίου στεγανός RTU 690X1250X204</t>
  </si>
  <si>
    <t xml:space="preserve"> Ηλεκτρικός πίνακας εξωτερικός ΙΡ65 επίτοιχος μεταλλικός INOX κλιματ. 690X650X204</t>
  </si>
  <si>
    <t xml:space="preserve"> Ηλεκτρικός πίνακας επίτοιχος μεταλλικός Αίθουσας συσκέψεων RTU 390X1050X204</t>
  </si>
  <si>
    <t>Ηλεκτρικός πίνακας επίτοιχος Θέρμανσης-Κλιματισμού στέγης RTU 690X1050X204</t>
  </si>
  <si>
    <t>Ηλεκτρικός Πίνακας χωνευτός Ορόφων 3 σειρών 430X600X99</t>
  </si>
  <si>
    <t>Αυτόματος Διακόπτης Ισχύος ρυθμιζόμενος 3Χ160 Α</t>
  </si>
  <si>
    <t>Αυτόματος Διακόπτης Ισχύος ρυθμιζόμενος 3Χ63 Α</t>
  </si>
  <si>
    <t xml:space="preserve">Αυτόματος Διακόπτης Ισχύος ρυθμιζόμενος 3Χ40 Α </t>
  </si>
  <si>
    <t>Αυτόματος Διακόπτης 3Χ40 Α ράγιας</t>
  </si>
  <si>
    <t>Αυτόματος Διακόπτης 3Χ20Α ράγιας</t>
  </si>
  <si>
    <t>Αυτόματος Διακόπτης 2Χ20 Α ράγιας</t>
  </si>
  <si>
    <t>Αυτόματος Διακόπτης 3Χ16 Α ράγιας</t>
  </si>
  <si>
    <t>Αυτόματος Διακόπτης τύπου Κ3Χ16 Α (θερμομαγνητικός)</t>
  </si>
  <si>
    <t>Μικροαυτόματος Διακότπης 16 Α</t>
  </si>
  <si>
    <t>Μικροαυτόματος Διακότπης 10 Α</t>
  </si>
  <si>
    <t>Ρελαί Διαρροής ως προς γη 4Χ40 Α/30mA</t>
  </si>
  <si>
    <t>Ρελαί Διαρροής ως προς γη 4Χ63 Α τύπου Α</t>
  </si>
  <si>
    <t>Μ/Σ έντασης πολυοργάνου</t>
  </si>
  <si>
    <t>Ενδεικτική λυχνία Πίνακα ράγιας</t>
  </si>
  <si>
    <t>Ενδεικτική λυχνία Πίνακα Led Φ22</t>
  </si>
  <si>
    <t>Φωτιστικό σώμα στεγανό διπλό L=1,20 m LED 230V</t>
  </si>
  <si>
    <t>Φωτιστικό στεγανό L=1,20 m με λάμπα LED μονό</t>
  </si>
  <si>
    <t>Φωτιστικό αναρτημένο παραδοσιακό μεταλλικό</t>
  </si>
  <si>
    <t xml:space="preserve"> Φωτιστικό οροφής ή ψευδορφής τετράγωνο 60Χ60 LED</t>
  </si>
  <si>
    <t>Φωτιστικό WC επίτοιχο με λάμπα LED αρματούρα</t>
  </si>
  <si>
    <t>Φωτιστικό παραδοσιακό επίτοιχο εισόδου</t>
  </si>
  <si>
    <t xml:space="preserve"> Φρεάτιο επίσκεψης καλωδίων 40x40</t>
  </si>
  <si>
    <t>Φρεάτιο επίσκεψης καλωδίων 50x50</t>
  </si>
  <si>
    <t>Αγωγός γυμνός χάλκινος συνεστραμμένος γείωσης s=25mm2</t>
  </si>
  <si>
    <t>Κανάλι ρευματοφόρο τύπου Bright 3Ph</t>
  </si>
  <si>
    <t>Κανάλι ρευματοφόρο τύπου Bright 1Ph</t>
  </si>
  <si>
    <t>Τροφοδοτικό καναλιού 3Ph</t>
  </si>
  <si>
    <t>Τροφοδοτικό καναλιού 1Ph</t>
  </si>
  <si>
    <t>Συνδετήρας ρευματοφόρου καναλιού 3 Ph</t>
  </si>
  <si>
    <t>Τερματικό ρευματοφόρου καναλιού 1Ph</t>
  </si>
  <si>
    <t>Τερματικό ρευματοφόρου καναλιού 3Ph</t>
  </si>
  <si>
    <t>Ηλεκτρολογικός σωλήνας Φ16</t>
  </si>
  <si>
    <t>Ηλεκτρολογικός σωλήνας Φ21</t>
  </si>
  <si>
    <t>Ηλεκτρολογικός σωλήνας Φ23</t>
  </si>
  <si>
    <t>Ηλεκτρολογικός σωλήνας Φ29</t>
  </si>
  <si>
    <t>Ηλεκτρολογικός σωλήνας Φ36</t>
  </si>
  <si>
    <t>Σωλήνας HDPE DN63</t>
  </si>
  <si>
    <t>Σωλήνας HDPE DN90</t>
  </si>
  <si>
    <t xml:space="preserve">Χυτοσιδηρούς ιστός παραδοσιακού τύπου, ύψους h=4 m </t>
  </si>
  <si>
    <t>Βάση στήριξης μεταλλικού στύλου φωτισμού από σκυρόδεμα 100Χ100Χ100 με εκσκαφή</t>
  </si>
  <si>
    <t>Βραχίωνας διπλός ανάρτησης φωτιστικού LED 230V</t>
  </si>
  <si>
    <t>Βραχίωνας τριπλός ανάρτησης φωτιστικού LED 230V</t>
  </si>
  <si>
    <t xml:space="preserve"> Τοιχείο στήριξης μετρητικής διάταξης ΔΕΔΔΗΕ</t>
  </si>
  <si>
    <t xml:space="preserve">Σωλήνας γαλβανισμένος Φ3'' </t>
  </si>
  <si>
    <t xml:space="preserve">Σωλήνας γαλβανισμένος Φ2'' </t>
  </si>
  <si>
    <t>Εκσκαφές χάνδακα 40Χ60 για τοποθέτηση σωλήνων καλωδίων σε εδαφος ημιβραχώδες</t>
  </si>
  <si>
    <t>Χυτοσιδηρό κάλυμμα φρεατίου</t>
  </si>
  <si>
    <t>Ρελαί διαφυγής ως προς γη με ενσωματωμένο αυτοματάκι 16Α</t>
  </si>
  <si>
    <t>Φωτιστικό LED 230V-80 W χωρίς βραχίωνα εξωτερικού χώρου σε ιστό</t>
  </si>
  <si>
    <t>Φωτοκύταρο ελέγχου λειτουργίας φωτισμού εξωτερικού χώρου MODBUS</t>
  </si>
  <si>
    <t>Χρονοδιακόπτης ψηφιακός προγραμματιζόμενος</t>
  </si>
  <si>
    <t>Ανιχνευτής κίνησης έναυσης φωτιστικών modbus</t>
  </si>
  <si>
    <t>Διακόπτης πολυτελείας μεγάλου πλήκτρου διπλος</t>
  </si>
  <si>
    <t>Διακόπτης πολυτελείας μεγάλου πλήκτρου μονός</t>
  </si>
  <si>
    <t xml:space="preserve"> Ρευματοδότης σούκο επίτοιχος στεγανός 16Α</t>
  </si>
  <si>
    <t>Μπουάτ στρόγγυλο Φ100</t>
  </si>
  <si>
    <t>Μπουάτ στεγανό τετράγωνο 10x10 πλαστικό</t>
  </si>
  <si>
    <t>Ψηφιακός αναλυτής ενέργειας θύρας ηλεκτρικού πίνακα modbus</t>
  </si>
  <si>
    <t>Ηλεκτρικός πίνακας επίτοιχος RTU 690X1050X204</t>
  </si>
  <si>
    <t>Ενδεικτική λυχνία Πίνακα Led ράγιας</t>
  </si>
  <si>
    <t>Φωτιστικό σώμα αναρτημένο παραδοσιακό με λαμπτηρες LED θερμού χρώματος</t>
  </si>
  <si>
    <t>Επίτοιχο παραδοσιακό φωτιστικό εισόδου</t>
  </si>
  <si>
    <t>Φωτοκύταρο ελέγχου λειτουργίας φωτισμούεξωτερικού χώρου modbus</t>
  </si>
  <si>
    <t>Διακόπτης μεγάλου πλήκτρου πολυτελείας διπλός</t>
  </si>
  <si>
    <t xml:space="preserve"> Ρευματοδότης σούκο χωνευτός στεγανός 16Α</t>
  </si>
  <si>
    <t>Ηλεκτρικό καλώδιο ΝΥΥ 5x16 mm2</t>
  </si>
  <si>
    <t>Καλώδιο ΝΥΜ 4x1,5 mm2</t>
  </si>
  <si>
    <t>Καλώδιο ΝΥΜ 3x1,5 mm2</t>
  </si>
  <si>
    <t>Καλώδιο ΝΥΜ 3X2,5 mm2</t>
  </si>
  <si>
    <t>Μπουάτ χωνευτό Φ100</t>
  </si>
  <si>
    <t>Μπουάτ στεγανό 100x100 πλαστικό</t>
  </si>
  <si>
    <t>Εξαεριστήρας κουζίνας (φούσκα INOX) πλήρης</t>
  </si>
  <si>
    <t>Ρελαί διαρροής 4Χ63Α τύπου Α</t>
  </si>
  <si>
    <t>κ.μ.</t>
  </si>
  <si>
    <t>ΦΡΕΑΤΙΟ ΕΠΙΣΚΕΨΗΣ 30Χ40</t>
  </si>
  <si>
    <t>ΦΡΕΑΤΙΟ ΕΠΙΣΚΕΨΗΣ50Χ60</t>
  </si>
  <si>
    <t>ΒΑΛΒΙΔΑ ΑΝΤΕΠΙΣΤΡΟΦΗΣ ΟΡΕΙΧΑΛΚΙΝΗ Φ1΄΄</t>
  </si>
  <si>
    <t>ΣΥΛΛΕΚΤΗΣ ΠΟΤΙΣΜΑΤΟΣ 3 ΠΑΡΟΧΩΝ</t>
  </si>
  <si>
    <t>ΣΥΛΛΕΚΤΗΣ ΠΟΤΙΣΜΑΤΟΣ 4 ΠΑΡΟΧΩΝ</t>
  </si>
  <si>
    <t>ΑΙΣΘΗΤΗΡΑΣ ΒΡΟΧΗΣ</t>
  </si>
  <si>
    <t>ΑΙΣΘΗΤΗΡΑΣ ΥΓΡΑΣΙΑΣ ΕΔΑΦΟΥΣ</t>
  </si>
  <si>
    <t>ΜΕΤΕΩΡΟΛΟΓΙΚΟΣ ΣΤΑΘΜΟΣ</t>
  </si>
  <si>
    <t>ΦΙΛΤΡΟ ΝΕΡΟΥ ΔΙΣΚΩΝ Φ11/2΄΄</t>
  </si>
  <si>
    <t>ΣΩΛΗΝΑ ΡΡ-R80 DN 32X5.5</t>
  </si>
  <si>
    <t>ΣΩΛΗΝΑ ΡΡ-R80 DN 25X5.4</t>
  </si>
  <si>
    <t>ΣΩΛΗΝΑ ΠΟΤΙΣΜΑΤΟΣ Φ22 6 atm</t>
  </si>
  <si>
    <t>ΣΩΛΗΝΑ ΠΟΤΙΣΜΑΤΟΣ Φ16 6 atm</t>
  </si>
  <si>
    <t>ΜΠΕΚ ΠΟΤΙΣΜΑΤΟΣ POP UP r =4.5 έως 5.5 m</t>
  </si>
  <si>
    <t>ΜΠΕΚ ΠΟΤΙΣΜΑΤΟΣ ΣΤΑΛΑΚΤΗ</t>
  </si>
  <si>
    <t>ΕΠΙΓΕΙΟ ΑΝΤΛΗΤΙΚΟ ΣΥΓΚΡΟΤΗΜΑ 2.000W - 2.250 W</t>
  </si>
  <si>
    <t>ΚΑΛΩΔΙΟ ΝΥΥ 3Χ1.5 mm2</t>
  </si>
  <si>
    <t>ΠΡΟΓΡΑΜΜΑΤΙΣΜΟΣ ΣΥΣΤΗΜΑΤΟΣ ΑΡΔΕΥΣΗΣ</t>
  </si>
  <si>
    <t>ΚΕΡΑΙΑ Τ.V.-FM</t>
  </si>
  <si>
    <t>ΕΝΙΣΧΥΤΗΣ ΣΗΜΑΤΟΣ ΚΕΡΑΙΑΣ Τ.V.</t>
  </si>
  <si>
    <t>KATANEMHΤΗΣ ΣΗΜΑΤΟΣ Τ.V.</t>
  </si>
  <si>
    <t>OMOAΞΟΝΙΚΟ ΚΑΛΩΔΙΟ 75Ω</t>
  </si>
  <si>
    <t>ΔΙΑΚΛΑΔΩΤΗΡΑΣ ΣΗΜΑΤΟΣ ΤV</t>
  </si>
  <si>
    <t>ΠΡΙΖΑ ΤV -SAT -RD 75Ω</t>
  </si>
  <si>
    <t xml:space="preserve">ΠΛΗΡΗΣ ΚΕΝΤΡΙΚΗ ΜΕΓΑΦΩΝΙΚΗ ΕΓΚΑΤΑΣΤΑΣΗ ΚΤΙΡΙΟΥ  </t>
  </si>
  <si>
    <t xml:space="preserve">ΠΛΗΡΗΣ ΚΕΝΤΡΙΚΗ ΜΕΓΑΦΩΝΙΚΗ ΕΓΚΑΤΑΣΤΑΣΗ ΑΝΑΨΥΚΤΗΡΙΟΥ  </t>
  </si>
  <si>
    <t>ΗΧΕΙΟ ΕΠΙΤΟΙΧΟ ΔΥΟ ΔΡΟΜΩΝ 50WRMS</t>
  </si>
  <si>
    <t>ΗΧΕΙΟ ΕΞΩΤΕΡΙΚΟΥ ΧΩΡΟΥ ΣΤΕΓΑΝΟ ΜΕΤΑ ΤΗΣ ΒΑΣΗΣ ΤΟΥ ΔΥΟ ΔΡΟΜΩΝ 100WRMS</t>
  </si>
  <si>
    <t>RACK ΦΙΛΟΞΕΝΙΑΣ ΗΧΗΤΙΚΗΣ ΕΓΚΑΤΑΣΤΑΣΗΣ 24U ΑΙΘΟΥΣΑΣ ΣΥΣΚΕΨΕΩΝ</t>
  </si>
  <si>
    <t>RACK ΦΙΛΟΞΕΝΙΑΣ ΗΧΗΤΙΚΗΣ ΕΓΚΑΤΑΣΤΑΣΗΣ 12U ΑΝΑΨΥΚΤΗΡΙΟΥ</t>
  </si>
  <si>
    <t>ΕΡΓΑΣΙΑ ΕΓΚΑΤΑΣΤΑΣΗΣ ΣΥΣΤΗΜΑΤΩΝ ΕΙΚΟΝΑΣ ΗΧΟΥ ΚΤΙΡΙΟΥ &amp; ΑΝΑΨΥΚΤΗΡΙΟΥ</t>
  </si>
  <si>
    <t>ΣΥΣΚΕΥΗ Τ.V. 50΄΄ ΤΕΧΝΟΛΟΓΙΑΣ SMART HD ΣΥΧΝΟΤΗΤΑΣ ΣΑΡΩΣΗΣ 800Ηz</t>
  </si>
  <si>
    <t>ΣΥΣΚΕΥΗ Τ.V.40΄΄ ΤΕΧΝΟΛΟΓΙΑΣ SMART HD ΣΥΧΝΟΤΗΤΑΣ ΣΑΡΩΣΗΣ 800Ηz</t>
  </si>
  <si>
    <t>PROJECTOR 3D 4K ΠΡΟΒΟΛΗΣ TEXNOΛOΓIAΣ LED</t>
  </si>
  <si>
    <t>ΗΛΕΚΤΡΟΚΙΝΗΤΟ ΠΑΝΩ ΕΜΠΡΟΣΘΙΑΣ ΠΡΟΒΟΛΗΣ</t>
  </si>
  <si>
    <t>ΠΙΝΑΚΑΣ ΣΥΝΑΓΕΡΜΟΥ ΨΗΦΙΑΚΟΣ ΜΕ ΠΟΜΠΟ</t>
  </si>
  <si>
    <t>ΜΑΓΝΗΤΙΚΗ ΕΠΑΦΗ</t>
  </si>
  <si>
    <t>ΣΕΙΡΗΝΑ ΕΞΩΤΕΡΙΚΟΥ ΧΩΡΟΥ ΑΥΤΟΝΟΜΗ</t>
  </si>
  <si>
    <t>ΕΓΧΡΩΜΗ ΚΑΜΕΡΑ ΤΥΠΟΥ DOM 1/3΄΄</t>
  </si>
  <si>
    <t>ΠΛΗΡΗΣ ΥΠΕΡΑΥΤΟΜΑΤΟΣ ΥΔΡΑΥΛΙΚΟΣ ΑΝΕΛΚΥΣΤΗΡ 8 ΑΤΟΜΩΝ</t>
  </si>
  <si>
    <t xml:space="preserve">ΑΝΙΧΝΕΥΤΗΣ ΙΟΝΙΣΜΟΥ ΚΑΠΝΟΥ </t>
  </si>
  <si>
    <t xml:space="preserve">ΑΝΙΧΝΕΥΤΗΣ ΘΕΡΜΟΔΙΑΦΟΡΙΚΟΣ </t>
  </si>
  <si>
    <t>ΦΟΡΗΤΟΣ ΠΥΡΟΣΒΕΣΤΗΡ ΞΗΡΑΣ ΚΟΝΕΩΣ 6 Κg  (Pa6)</t>
  </si>
  <si>
    <t>ΚΑΛΩΔΙΟ ΝΥΜ 3Χ1.5 mm2</t>
  </si>
  <si>
    <t xml:space="preserve">Συγκρότημα υδρόψυκτων εξωτερικών μονάδων VRV, ενδεικτικού τύπου RWEYQ24-T8 (8+8+8), με ονομαστική απόδοση στην ψύξη 67,2 kW και στην και στην θέρμανση 75 kW </t>
  </si>
  <si>
    <t xml:space="preserve">Εσωτερική κλιματιστική μονάδα VRV, εμφανούς τοποθέτησης, δαπέδου ενδεικτικού τύπου FXLQ20P, με ονομαστική απόδοση στην ψύξη 2,2kW και στην θέρμανση 2,5kW. Περιλαμβάνει τοπικό χειριστήριο VRV ενδεικτικού τύπου BRC1E52A και αποχέτευση συμπυκνωμάτων </t>
  </si>
  <si>
    <t xml:space="preserve">Εσωτερική κλιματιστική μονάδα VRV, εμφανούς τοποθέτησης, δαπέδου ενδεικτικού τύπου FXLQ25P, με ονομαστική απόδοση στην ψύξη 2,8kW και στην θέρμανση 3,2kW. Περιλαμβάνει τοπικό χειριστήριο VRV ενδεικτικού τύπου BRC1E52A και αποχέτευση συμπυκνωμάτων. </t>
  </si>
  <si>
    <t xml:space="preserve">Εσωτερική κλιματιστική μονάδα VRV, εμφανούς τοποθέτησης, δαπέδου ενδεικτικού τύπου FXLQ32P, με ονομαστική απόδοση στην ψύξη 3,6kW και στην θέρμανση 4,0kW. Περιλαμβάνει τοπικό χειριστήριο VRV ενδεικτικού τύπου BRC1E52A και αποχέτευση συμπυκνωμάτων. </t>
  </si>
  <si>
    <t xml:space="preserve">Εσωτερική κλιματιστική μονάδα VRV, εμφανούς τοποθέτησης, δαπέδου ενδεικτικού τύπου FXLQ40P, με ονομαστική απόδοση στην ψύξη 4,5kW και στην θέρμανση 5,0kW. Περιλαμβάνει τοπικό χειριστήριο VRV ενδεικτικού τύπου BRC1E52A και αποχέτευση συμπυκνωμάτων. </t>
  </si>
  <si>
    <t>Κεντρικό χειριστήριό VRV ενδεικτικού τύπου DCS302C51, σύνδεση εως 64 εσωτερικά</t>
  </si>
  <si>
    <t>Ψυκτικός χαλκοσωλήνας, για το δίκτυο VRV (περιλαμβάνει μόνωση) ονομαστικής διατομής Φ34,9 mm</t>
  </si>
  <si>
    <t>Ψυκτικός χαλκοσωλήνας, για το δίκτυο VRV (περιλαμβάνει μόνωση) ονομαστικής διατομής Φ25,4 mm</t>
  </si>
  <si>
    <t>Ψυκτικός χαλκοσωλήνας, για το δίκτυο VRV (περιλαμβάνει μόνωση) ονομαστικής διατομής Φ22,2 mm</t>
  </si>
  <si>
    <t>Ψυκτικός χαλκοσωλήνας, για το δίκτυο VRV (περιλαμβάνει μόνωση) ονομαστικής διατομής Φ19,1 mm</t>
  </si>
  <si>
    <t>Ψυκτικός χαλκοσωλήνας, για το δίκτυο VRV (περιλαμβάνει μόνωση) ονομαστικής διατομής Φ15,9 mm</t>
  </si>
  <si>
    <t>Ψυκτικός χαλκοσωλήνας, για το δίκτυο VRV (περιλαμβάνει μόνωση) ονομαστικής διατομής Φ12,7 mm</t>
  </si>
  <si>
    <t>Ψυκτικός χαλκοσωλήνας, για το δίκτυο VRV (περιλαμβάνει μόνωση) ονομαστικής διατομής Φ9,5 mm</t>
  </si>
  <si>
    <t>Ψυκτικός χαλκοσωλήνας, για το δίκτυο VRV (περιλαμβάνει μόνωση) ονομαστικής διατομής Φ6,4 mm</t>
  </si>
  <si>
    <t>Διακλαδωτές - συλλέκτες συστήματων VRV ενδεικτικού τύπου KHRQ22M20T</t>
  </si>
  <si>
    <t>Διακλαδωτές - συλλέκτες συστήματων VRV ενδεικτικού τύπου KHRQ22M29T9</t>
  </si>
  <si>
    <t>Διακλαδωτές - συλλέκτες συστήματων VRV ενδεικτικού τύπου KHRQ22M64T</t>
  </si>
  <si>
    <t>Κιτ ένωσης εξωτερικών μονάδων VRV, ενδεικτικού τύπου BHFQ22P1517</t>
  </si>
  <si>
    <t xml:space="preserve"> τεμ.</t>
  </si>
  <si>
    <t>μ</t>
  </si>
  <si>
    <t>Εγκατάσταση κατακόρυφου μονού γεωεναλλάκτη μορφής U-tube, σε γεώτρηση βάθους 100 m, πλήρης</t>
  </si>
  <si>
    <t>Διάνοιξη υδρογεωτρήσεως για κατασκευή γεωεναλλάκτη Φ150 mm</t>
  </si>
  <si>
    <t>Δοχείο διαστολής κλειστό με μεμβράνη, χωρητικότητας 100 l.</t>
  </si>
  <si>
    <t>Δοχείο αδρανείας χωρητικότητας 500 lt</t>
  </si>
  <si>
    <t>Δίδυμοι κυκλοφορητές in-line φλωντζωτοί παροχής έως 12 m3/h</t>
  </si>
  <si>
    <t>Πλαστικοί σωλήνες θέρμανσης από πολυπροπυλένιο PP-R με θερμική αυτοσυγκόλληση διατομής 63 mm</t>
  </si>
  <si>
    <t>Θερμική μόνωση σωλήνων θερμού νερού με εύκαμπτους σωλήνες από αφρώδες πολυαιθυλένιο πάχους 19mm ενδ. τύπου ARMAFLEX</t>
  </si>
  <si>
    <t>Σωληνώσεις πιέσεως από σωλήνες πολυαιθυλενίου ΡE 100 (με ελάχιστη απαιτούμενη
αντοχή MRS10 = 10 MPa), με συμπαγές τοίχωμα, κατά ΕΝ 12201-2. Ονομ. διαμέτρου DN 63 mm / ΡΝ 10 atm</t>
  </si>
  <si>
    <t>Αισθητήρας ροής δικτύων</t>
  </si>
  <si>
    <t>Αυτόματη βαλβίδα για εξαερισμό σωληνώσεων νερού</t>
  </si>
  <si>
    <t>Θερμόμετρο εμβαπτίσεως, κεντρικής θέρμανσης, ευθύ ή γωνιακό με ορειχάλκινη θήκη, περιοχής ένδειξης 0-100°C.</t>
  </si>
  <si>
    <t>Μανόμετρο με κρουνό, περιοχής ενδείξεων 0 μέχρι 10 ΑΤΜ.</t>
  </si>
  <si>
    <t>Σύστημα αυτόματου πλήρωσεως εγκαταστάσεων κλειστού δοχείου διαστολής</t>
  </si>
  <si>
    <t>Βαλβίδα αντεπιστροφής ορειχάλκινη Φ 2 ins, με δίσκο συνδεομένη με σπείρωμα</t>
  </si>
  <si>
    <t xml:space="preserve">ΒΑΛΒΙΔΑ ΔΙΑΚΟΠΗΣ Φ 2" </t>
  </si>
  <si>
    <t xml:space="preserve">Βαλβίδα διακοπής (διακόπτης) Φ 1/2 ins ορειχάλκινη </t>
  </si>
  <si>
    <t xml:space="preserve">Ασφαλιστική βαλβίδα με ελατήριο διαμέτρου 1 ins </t>
  </si>
  <si>
    <t xml:space="preserve">Φίλτρο νερού η ατμού κοχλιωτό απο χυτοσίδηρο διαμέτρου 2 ins </t>
  </si>
  <si>
    <t>Συσκευή απομάκρυνσης αέρα και σωματιδίων (απαερωτής - διαχωριστής), από κλειστά κυκλώματα θέρμανσης και ψύξης, διαμέτρου 50mm.</t>
  </si>
  <si>
    <t>Χημικός καθαρισμός γεωεναλλάκτη και πλήρωση δικτύου με γλυκόλη 20% κ.ο.</t>
  </si>
  <si>
    <t>Προκατασκευασμένο φρεάτιο γεωθερμίας με συλλέκτη &amp; διανομέα 12 αναχωρήσεων με δικλείδες ρύθμισης παροχής και παροχόμετρα</t>
  </si>
  <si>
    <t>ΕΡΓΟ :</t>
  </si>
  <si>
    <t>ΕΛΛΗΝΙΚΗ ΔΗΜΟΚΡΑΤΙΑ</t>
  </si>
  <si>
    <t>ΓΑΛΑΤΙΣΤΑ - ΛΙΒΑΔΙ</t>
  </si>
  <si>
    <t>ΠΑΛΑΙΟΧΩΡΑ</t>
  </si>
  <si>
    <t>ΣΥΝΟΛΟ ΑΡΘΡΟΥ</t>
  </si>
  <si>
    <t>ΝΟΜΟΣ ΧΑΛΚΙΔΙΚΗΣ</t>
  </si>
  <si>
    <t>ΔΗΜΟΣ ΠΟΛΥΓΥΡΟΥ</t>
  </si>
  <si>
    <t>Δ/ΝΣΗ ΤΕΧΝΙΚΩΝ ΥΠΗΡΕΣΙΩΝ</t>
  </si>
  <si>
    <t>ΤΜΗΜΑ ΤΕΧΝΙΚΩΝ ΕΡΓΩΝ</t>
  </si>
  <si>
    <t>ΑΡΙΘΜΟΣ ΜΕΛΕΤΗΣ:</t>
  </si>
  <si>
    <t>ΠΡΟΫΠΟΛΟΓΙΣΜΟΣ ΕΡΓΟΥ</t>
  </si>
  <si>
    <t>Α/Α</t>
  </si>
  <si>
    <t>ΠΕΡΙΓΡΑΦΗ ΕΡΓΑΣΙΑΣ</t>
  </si>
  <si>
    <t>Α.Τ.</t>
  </si>
  <si>
    <t>Μ.Μ.</t>
  </si>
  <si>
    <t>ΠΟΣΟΤΗΤΑ</t>
  </si>
  <si>
    <t>TIMH
ΜΟΝΑΔΑΣ
ΕΥΡΩ</t>
  </si>
  <si>
    <t>ΜΕΡΙΚΗ
ΔΑΠΑΝΗ
ΕΥΡΩ</t>
  </si>
  <si>
    <t>ΟΛΙΚΗ ΔΑΠΑΝΗ
ΕΥΡΩ</t>
  </si>
  <si>
    <t>Εκθάμνωση εδάφους ή εκρίζωση δενδρυλλίων περιμέτρου κορμού μέχρι 0,25 m</t>
  </si>
  <si>
    <t>Εκθάμνωση εδάφους ή εκρίζωση δενδρυλλίων περιμέτρου κορμού 0,26 - 0,40 m</t>
  </si>
  <si>
    <t>Ανόρυξη φρεάτων σε εδάφη βραχώδη πάσης φύσεως, χωρίς χρήση εκρηκτικών υλών</t>
  </si>
  <si>
    <t>Αντλητικά συγκροτήματα ηλεκτροκίνητα.Ισχύος 1,0 έως 2,5 kW</t>
  </si>
  <si>
    <t>Γραμμικά στραγγιστήρια από διάτρητους πλαστικούς σωλήνες με περίβλημα γεωυφάσματοςΣτραγγιστήρια με διάτρητους σωλήνες D 160 mm</t>
  </si>
  <si>
    <t>Καθαίρεση πλακοστρώσεων δαπέδων παντός τύπου και οιουδήποτε πάχους  Χωρίς να καταβάλλεται προσοχή για την εξαγωγή ακεραίων πλακών</t>
  </si>
  <si>
    <t>Καθαίρεση επιστρώσεων τοίχων παντός τύπου Χωρίς να καταβάλλεται προσοχή για την εξαγωγή ακεραίων πλακών</t>
  </si>
  <si>
    <t>Διαμόρφωση ανοιγμάτων σε λιθοδομές. Για οπές επιφανείας 0,51 m2 έως 1,00 m2</t>
  </si>
  <si>
    <t>Διάνοιξη αυλακιού σε λιθοδομή ή άοπλο σκυρόδεμα. Για πλάτος αυλακιού έως 0,10 m</t>
  </si>
  <si>
    <t>Αποξήλωση κιγκλιδωμάτων  Για μεταλλικά κιγκλιδώματα</t>
  </si>
  <si>
    <t>Προμήθεια, μεταφορά επιτόπου, διάστρωση και συμπύκνωση σκυροδέματος χωρίς χρήση αντλίας Για κατασκευές από σκυρόδεμα κατηγορίας C10/12</t>
  </si>
  <si>
    <t>Προμήθεια, μεταφορά επιτόπου, διάστρωση και συμπύκνωση σκυροδέματος χωρίς χρήση αντλίας  Για κατασκευές από σκυρόδεμα κατηγορίας C16/20</t>
  </si>
  <si>
    <t>Προμήθεια, μεταφορά επιτόπου, διάστρωση και συμπύκνωση σκυροδέματος χωρίς χρήση αντλίας  Για κατασκευές από σκυρόδεμα κατηγορίας C20/25</t>
  </si>
  <si>
    <t>Χαλύβδινοι οπλισμοί σκυροδέματος. Δομικά πλέγματα B500C (S500s)</t>
  </si>
  <si>
    <t>Οπλισμός σκυροδέματος από ανοξείδωτο χάλυβα. Ανοξείδωτοι οπλισμοί με νευρώσεις</t>
  </si>
  <si>
    <t>Οπτοπλινθοδομές με διακένους τυποποιημένους οπτοπλίνθους 9x19x24 cm ή και μεγαλυτέρων διαστάσεων Πάχους 1/2 πλίνθου (δρομικοί τοίχοι)</t>
  </si>
  <si>
    <t>Οπτοπλινθοδομές με διακένους τυποποιημένους οπτοπλίνθους 9x19x24 cm ή και μεγαλυτέρων διαστάσεων. Πάχους 1 (μιάς) πλίνθου (μπατικοί τοίχοι)</t>
  </si>
  <si>
    <t>Σοβατεπιά πλάτους 5 έως 8 cm, πάχους τουλάχιστον 12 mm Από ξυλεία τύπου δρυός</t>
  </si>
  <si>
    <t>Σοβατεπιά πλάτους 5 έως 8 cm, πάχους τουλάχιστον 12 mm Κορνίζα από ξυλεία δρυός</t>
  </si>
  <si>
    <t>Κλιμακοστασια κιγκλιδώματα Από ξυλεία δρυός αρίστης ποιότητας</t>
  </si>
  <si>
    <t>Κιγκλιδώματα κλιμάκων και πλατυσκάλων ευθύγραμμα Από ξυλεία δρυός αρίστης ποιότητας</t>
  </si>
  <si>
    <t>Χειρολισθήρας ευθύγραμμος διατομής 9x9 cm Από ξυλεία δρυός αρίστης ποιότητας</t>
  </si>
  <si>
    <t>Κιγκλιδώματα Συνθέτου σχεδίου από ευθύγραμμες και καμπύλες ράβδους</t>
  </si>
  <si>
    <t>ΚΩΔΙΚΟΣ
ΑΝ/ΡΗΣΗΣ</t>
  </si>
  <si>
    <t>ΚΩΔΙΚΟΣ ΑΡΘΡΟΥ</t>
  </si>
  <si>
    <t xml:space="preserve">ΣΥΝΟΛΟ ΟΜΑΔΩΝ ΕΡΓΑΣΙΩΝ </t>
  </si>
  <si>
    <t>Γ.Ε. +Ο.Ε. %</t>
  </si>
  <si>
    <t>ΑΘΡΟΙΣΜΑ</t>
  </si>
  <si>
    <t>ΑΠΡΟΒΛΕΠΤΑ 15%</t>
  </si>
  <si>
    <t>Συνολική Δαπάνη Έργου :</t>
  </si>
  <si>
    <t>ΑΝΑΘΕΩΡΗΣΕΙΣ</t>
  </si>
  <si>
    <t>ΔΑΠΑΝΗ ΧΩΡΙΣ Φ.Π.Α.</t>
  </si>
  <si>
    <t>Φ.Π.Α %</t>
  </si>
  <si>
    <t>ΤΕΛΙΚΗ ΔΑΠΑΝΗ ΤΟΥ ΕΡΓΟΥ ΜΕ Φ.Π.Α.</t>
  </si>
  <si>
    <t xml:space="preserve">ΣΥΝΤΑΧΘΗΚΕ </t>
  </si>
  <si>
    <t xml:space="preserve">ΕΛΕΓΧΘΗΚΕ </t>
  </si>
  <si>
    <t>ΘΕΩΡΗΘΗΚΕ</t>
  </si>
  <si>
    <t>O Προϊστάμενος Τ.Τ.Ε.</t>
  </si>
  <si>
    <t>Ο Προϊστάμενος Δ/νσης Τ.Υ</t>
  </si>
  <si>
    <t>Γεώργιος Παπασαραφιανός</t>
  </si>
  <si>
    <t xml:space="preserve">Ηλεκτρολόγος Μηχανικός </t>
  </si>
  <si>
    <t>ΚΑΤΗΓΟΡΙΕΣ ΕΡΓΟΥ</t>
  </si>
  <si>
    <t>ΗΛΜ</t>
  </si>
  <si>
    <t>Γ.Ε. +Ο.Ε. 18%</t>
  </si>
  <si>
    <t>ΠΟΣΟΣΤΟ ΕΠΙ ΤΟΥ ΣΥΝΟΛΟΥ ΤΟΥ ΕΡΓΟΥ</t>
  </si>
  <si>
    <t xml:space="preserve">Προς Δημοπράτηση  : </t>
  </si>
  <si>
    <t>ΟΙΚΟΔΟΜΙΚΑ</t>
  </si>
  <si>
    <t>Κεφαλή υδρορροής πλαστική με εσχάρα</t>
  </si>
  <si>
    <t>ΑΤΗΕ 9302.2</t>
  </si>
  <si>
    <t>ΑΤΗΕ 8066.1.6</t>
  </si>
  <si>
    <t>ΑΤΗΕ 8066.3.3</t>
  </si>
  <si>
    <t xml:space="preserve">ΥΔΡ. 6069.1  </t>
  </si>
  <si>
    <t>ATHE8042.2.3 ΣΧ.</t>
  </si>
  <si>
    <t>ATHE8042.2.2 ΣΧ.</t>
  </si>
  <si>
    <t>ΑΤΗΕ 8042.1.7</t>
  </si>
  <si>
    <t>ΑΤΗΕ 8042.1.5</t>
  </si>
  <si>
    <t>ΑΤΗΕ 8042.1.3</t>
  </si>
  <si>
    <t>ΑΤΗΕ 8042.1.2</t>
  </si>
  <si>
    <t>ΑΤΗΕ 8130</t>
  </si>
  <si>
    <t>ΑΤΗΕ 8045.21.5</t>
  </si>
  <si>
    <t>ΑΤΗΕ 8151.2</t>
  </si>
  <si>
    <t>ATHE 8160.1</t>
  </si>
  <si>
    <t>ATHE 8168.2</t>
  </si>
  <si>
    <t>ΗΛΜ 13</t>
  </si>
  <si>
    <t>ΑΤΗΕ 9316.5</t>
  </si>
  <si>
    <t>ΑΤΗΕ 8174.1</t>
  </si>
  <si>
    <t>ΑΤΗΕ 8176.1.2</t>
  </si>
  <si>
    <t>ΑΤΗΕ 8177</t>
  </si>
  <si>
    <t>ΑΤΗΕ 8178.1.2</t>
  </si>
  <si>
    <t>ΑΤΗΕ 8179.2</t>
  </si>
  <si>
    <t>ΑΤΗΕ Ν8141.13.1</t>
  </si>
  <si>
    <t>ΑΤΗΕ Ν.8042.2.1.4</t>
  </si>
  <si>
    <t>ΑΤΗΕ 8256.2.3</t>
  </si>
  <si>
    <t>ΑΤΗΕ 8256.4.1</t>
  </si>
  <si>
    <t>ΑΤΗΕ 8311.2.2</t>
  </si>
  <si>
    <t>ΑΤΗΕ 8064</t>
  </si>
  <si>
    <t>ΑΤΗΕ9302.2</t>
  </si>
  <si>
    <t>ΑΤΗΕ8066.1.5</t>
  </si>
  <si>
    <t>ΑΤΗΕ 8072</t>
  </si>
  <si>
    <t>ΑΤΗΕ8256.6.1</t>
  </si>
  <si>
    <t>ΑΤΗΕ8066.1.4</t>
  </si>
  <si>
    <t>ΑΤΗΕ8066.1.6</t>
  </si>
  <si>
    <t>ΗΛΜ 8</t>
  </si>
  <si>
    <t>ΗΛΜ 21</t>
  </si>
  <si>
    <t>ΑΤΗΕ8840.3.7.ΣΧ</t>
  </si>
  <si>
    <t>ΑΤΗΕ8840.2.4.ΣΧ</t>
  </si>
  <si>
    <t>ΑΤΗΕ8840.3.6.ΣΧ</t>
  </si>
  <si>
    <t>ΑΤΗΕ8840.2.5.ΣΧ</t>
  </si>
  <si>
    <t>ΑΤΗΕ8840.4.1.ΣΧ</t>
  </si>
  <si>
    <t xml:space="preserve">ATHE 8840.2.1           </t>
  </si>
  <si>
    <t>ΑΤΗΕ8896.10.ΣΧ</t>
  </si>
  <si>
    <t>ΑΤΗΕ8896.6.ΣΧ</t>
  </si>
  <si>
    <t>ΑΤΗΕ8896.1.5.ΣΧ</t>
  </si>
  <si>
    <t>ΑΤΗΕ8896.1.5</t>
  </si>
  <si>
    <t>ΑΤΗΕ8915.2.4</t>
  </si>
  <si>
    <t>ΑΤΗΕ8916.2.11</t>
  </si>
  <si>
    <t>ΑΤΗΕ8915.2.3</t>
  </si>
  <si>
    <t xml:space="preserve">ATHE 8916.2.3          </t>
  </si>
  <si>
    <t>ΑΤΗΕ8915.1.2</t>
  </si>
  <si>
    <t>ATHE N8918.12.4</t>
  </si>
  <si>
    <t>ATHE N8918.12.5</t>
  </si>
  <si>
    <t>ΑΤΗΕ8924.ΣΧ</t>
  </si>
  <si>
    <t>ΑΤΗΕ8974.7.4.ΣΧ</t>
  </si>
  <si>
    <t>ΑΤΗΕ8974.7.3.ΣΧ</t>
  </si>
  <si>
    <t>ΑΤΗΕ8757.2.5</t>
  </si>
  <si>
    <t>ΑΤΗΕ8774.3.2</t>
  </si>
  <si>
    <t>ΑΤΗΕ8774.5.2</t>
  </si>
  <si>
    <t>ΑΤΗΕ8774.6.2</t>
  </si>
  <si>
    <t>ΑΤΗΕ8774.6.3</t>
  </si>
  <si>
    <t>ΑΤΗΕ8774.6.4</t>
  </si>
  <si>
    <t>ATHE8774.6.5</t>
  </si>
  <si>
    <t>ATHE8774.6.6</t>
  </si>
  <si>
    <t>ATHE8774.6.8</t>
  </si>
  <si>
    <t>ΑΤΗΕ8774.5.9</t>
  </si>
  <si>
    <t>ΑΤΗΕ8774.1.7</t>
  </si>
  <si>
    <t>ΑΤΗΕ8766.3.1</t>
  </si>
  <si>
    <t>ΑΤΗΕ8766.3.2</t>
  </si>
  <si>
    <t>ΑΤΗΕ8766.3.3</t>
  </si>
  <si>
    <t>ΑΤΗΕ8766.4.1</t>
  </si>
  <si>
    <t>ΑΤΗΕ8766.4.2</t>
  </si>
  <si>
    <t>ΑΤΗΕ8766.5.2</t>
  </si>
  <si>
    <t>ATHE8733.2.3</t>
  </si>
  <si>
    <t>ΑΤΗΕ8733.2.4</t>
  </si>
  <si>
    <t>ΑΤΗΕ8733.2.3.ΣΧ</t>
  </si>
  <si>
    <t>ΑΤΗΕ8733.2.5</t>
  </si>
  <si>
    <t>ΑΤΗΕ8733.2.6</t>
  </si>
  <si>
    <t>ΑΤΗΕ60.10.05.01</t>
  </si>
  <si>
    <t>ΟΔΟ Β-29.3.2.ΣΧ</t>
  </si>
  <si>
    <t>ΑΤΗΕ9316.8</t>
  </si>
  <si>
    <t>ΑΤΗΕ9316.6</t>
  </si>
  <si>
    <t>ATHE 8916.2.3.ΣΧ</t>
  </si>
  <si>
    <t>ΑΤΗΕ8801.1.2</t>
  </si>
  <si>
    <t>ΑΤΗΕ8801.1.1</t>
  </si>
  <si>
    <t>ΑΤΗΕ8827.3.2</t>
  </si>
  <si>
    <t>ΑΤΗΕ8735.2.2.ΣΧ</t>
  </si>
  <si>
    <t>ΑΤΗΕ8735.2.3</t>
  </si>
  <si>
    <t>ΑΤΗΕ8921.1.1.ΣΧ</t>
  </si>
  <si>
    <t>ATHE8766.3.1</t>
  </si>
  <si>
    <t>ATHE8733.2.5</t>
  </si>
  <si>
    <t>ΑΤΗΕ 8918.12.5 N</t>
  </si>
  <si>
    <t>ΑΤΗΕ 9340.3</t>
  </si>
  <si>
    <t>ΑΤΗΕ 9342.Σχ.</t>
  </si>
  <si>
    <t>ΑΤΗΕ 8890.Σχ.</t>
  </si>
  <si>
    <t>ΑΤΗΕ 9349</t>
  </si>
  <si>
    <t>ΑΤΗΕ9340.3</t>
  </si>
  <si>
    <t>ΑΤΗΕ 9323.3</t>
  </si>
  <si>
    <t>ΑΤΗΕ 9307.1</t>
  </si>
  <si>
    <t>ΑΤΗΕ 8773.6.6</t>
  </si>
  <si>
    <t>ΑΤΗΕ9342 Σχ</t>
  </si>
  <si>
    <t>ATHE 9316.5</t>
  </si>
  <si>
    <t>ΑΤΗΕ9501.2.α</t>
  </si>
  <si>
    <t>ΗΛΜ48</t>
  </si>
  <si>
    <t>ΗΛΜ52</t>
  </si>
  <si>
    <t>ΗΛΜ49</t>
  </si>
  <si>
    <t>ΗΛΜ41</t>
  </si>
  <si>
    <t>ΑΤΗΕ 8151.2.σχ</t>
  </si>
  <si>
    <t>ΑΤΗΕ8153.2.σχ</t>
  </si>
  <si>
    <t>ΑΤΗΕ8179.2.σχ</t>
  </si>
  <si>
    <t>ATHE 8160.1.σχ</t>
  </si>
  <si>
    <r>
      <t>Καλώδιο ΝΥΥ 3x2,5 mm</t>
    </r>
    <r>
      <rPr>
        <vertAlign val="superscript"/>
        <sz val="10"/>
        <color theme="1"/>
        <rFont val="Arial"/>
        <family val="2"/>
        <charset val="161"/>
      </rPr>
      <t xml:space="preserve">2 </t>
    </r>
  </si>
  <si>
    <r>
      <t>Καλώδιο ΝΥΥ 4x2,5 mm</t>
    </r>
    <r>
      <rPr>
        <vertAlign val="superscript"/>
        <sz val="10"/>
        <color theme="1"/>
        <rFont val="Arial"/>
        <family val="2"/>
        <charset val="161"/>
      </rPr>
      <t>2</t>
    </r>
  </si>
  <si>
    <r>
      <t>Καλώδιο ΝΥΥ 5x2,5 mm</t>
    </r>
    <r>
      <rPr>
        <vertAlign val="superscript"/>
        <sz val="10"/>
        <color theme="1"/>
        <rFont val="Arial"/>
        <family val="2"/>
        <charset val="161"/>
      </rPr>
      <t>2</t>
    </r>
  </si>
  <si>
    <r>
      <t>Καλώδιο ΝΥΥ 5x4 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</si>
  <si>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>Καλώδιο ΝΥΥ 5x6 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</si>
  <si>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>Καλώδιο ΝΥΥ 5x10 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</si>
  <si>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>Καλώδιο ΝΥΥ 5x16 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</si>
  <si>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>Καλώδιο ΝΥΥ 5x35 mm</t>
    </r>
    <r>
      <rPr>
        <vertAlign val="superscript"/>
        <sz val="10"/>
        <color theme="1"/>
        <rFont val="Arial"/>
        <family val="2"/>
        <charset val="161"/>
      </rPr>
      <t>2</t>
    </r>
  </si>
  <si>
    <r>
      <t>Καλώδιο ΝΥΥ 4Χ50mm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</si>
  <si>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>Καλώδιο ΝΥΥ 1Χ25mm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</si>
  <si>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 xml:space="preserve"> Καλώδιο ΝΥΜ 3x1,5 mm</t>
    </r>
    <r>
      <rPr>
        <vertAlign val="superscript"/>
        <sz val="10"/>
        <color theme="1"/>
        <rFont val="Arial"/>
        <family val="2"/>
        <charset val="161"/>
      </rPr>
      <t>2</t>
    </r>
  </si>
  <si>
    <r>
      <t xml:space="preserve"> Καλώδιο ΝΥΜ 3x2,5 mm</t>
    </r>
    <r>
      <rPr>
        <vertAlign val="superscript"/>
        <sz val="10"/>
        <color theme="1"/>
        <rFont val="Arial"/>
        <family val="2"/>
        <charset val="161"/>
      </rPr>
      <t>2</t>
    </r>
  </si>
  <si>
    <r>
      <t xml:space="preserve"> Καλώδιο ΝΥΜ 3x4 mm</t>
    </r>
    <r>
      <rPr>
        <vertAlign val="superscript"/>
        <sz val="10"/>
        <color theme="1"/>
        <rFont val="Arial"/>
        <family val="2"/>
        <charset val="161"/>
      </rPr>
      <t>2</t>
    </r>
  </si>
  <si>
    <r>
      <t xml:space="preserve"> Καλώδιο ΝΥΜ 4x1.5 mm</t>
    </r>
    <r>
      <rPr>
        <vertAlign val="superscript"/>
        <sz val="10"/>
        <color theme="1"/>
        <rFont val="Arial"/>
        <family val="2"/>
        <charset val="161"/>
      </rPr>
      <t>2</t>
    </r>
  </si>
  <si>
    <r>
      <t xml:space="preserve"> Καλώδιο ΝΥΜ 4x2.5 mm</t>
    </r>
    <r>
      <rPr>
        <vertAlign val="superscript"/>
        <sz val="10"/>
        <rFont val="Arial"/>
        <family val="2"/>
        <charset val="161"/>
      </rPr>
      <t>2</t>
    </r>
  </si>
  <si>
    <r>
      <t xml:space="preserve"> Καλώδιο ΝΥΜ 5x2.5 mm</t>
    </r>
    <r>
      <rPr>
        <vertAlign val="superscript"/>
        <sz val="10"/>
        <rFont val="Arial"/>
        <family val="2"/>
        <charset val="161"/>
      </rPr>
      <t>2</t>
    </r>
  </si>
  <si>
    <r>
      <t>Καλώδιο ΝΥΥ 3x2,5 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εξαεριστήρα φούσκας</t>
    </r>
  </si>
  <si>
    <t>ΗΛΜ1</t>
  </si>
  <si>
    <t>ΗΛΜ 62</t>
  </si>
  <si>
    <t>ΗΛΜ 19</t>
  </si>
  <si>
    <t>ΑΤΗΕ Ν8552.92.15</t>
  </si>
  <si>
    <t>ΑΤΗΕ Ν8531.15.1</t>
  </si>
  <si>
    <t>ΑΤΗΕ Ν8531.15.2</t>
  </si>
  <si>
    <t>ΑΤΗΕ Ν8531.15.3</t>
  </si>
  <si>
    <t>ΑΤΗΕ Ν8531.15.4</t>
  </si>
  <si>
    <t>ΑΤΗΕ Ν8531.15.5</t>
  </si>
  <si>
    <t>ΑΤΗΕ Ν8041.12.1</t>
  </si>
  <si>
    <t>ΑΤΗΕ Ν8041.12.2</t>
  </si>
  <si>
    <t>ΑΤΗΕ Ν8041.12.3</t>
  </si>
  <si>
    <t>ΑΤΗΕ Ν8041.12.4</t>
  </si>
  <si>
    <t>ΑΤΗΕ Ν8041.12.5</t>
  </si>
  <si>
    <t>ΑΤΗΕ Ν8041.12.6</t>
  </si>
  <si>
    <t>ΑΤΗΕ Ν8041.12.7</t>
  </si>
  <si>
    <t>ΑΤΗΕ Ν8041.12.8</t>
  </si>
  <si>
    <t>ΑΤΗΕ Ν8041.12.9</t>
  </si>
  <si>
    <t>ΑΤΗΕ Ν8041.12.10</t>
  </si>
  <si>
    <t>ΑΤΗΕ Ν8041.12.11</t>
  </si>
  <si>
    <t>ΑΤΗΕ Ν8041.12.12</t>
  </si>
  <si>
    <t xml:space="preserve">  ΗΛΜ37</t>
  </si>
  <si>
    <t xml:space="preserve">  ΗΛΜ32</t>
  </si>
  <si>
    <t>ΗΛΜ7</t>
  </si>
  <si>
    <t>ΑΤΗΕ Ν8473.1.15</t>
  </si>
  <si>
    <t>ATHE N8605.3.3</t>
  </si>
  <si>
    <t xml:space="preserve">ΑΤΗΕ Ν8605.1.17 </t>
  </si>
  <si>
    <t>ΑΤΗΕ Ν8036.6</t>
  </si>
  <si>
    <t>ATHE N8539.36</t>
  </si>
  <si>
    <t>ΥΔΡ 12.14.01.04</t>
  </si>
  <si>
    <t>ΑΤΗΕ Ν8621.99.12</t>
  </si>
  <si>
    <t>ATHE Ν8606.1.12</t>
  </si>
  <si>
    <t>ΑΤΗΕ 8651</t>
  </si>
  <si>
    <t>ΑΤΗΕ 8641</t>
  </si>
  <si>
    <t>ΑΤΗΕ 8474.2</t>
  </si>
  <si>
    <t>ΑΤΗΕ 8125.3.6</t>
  </si>
  <si>
    <t>ΑΤΗΕ 8101.6</t>
  </si>
  <si>
    <t>ΑΤΗΕ 8101.1</t>
  </si>
  <si>
    <t>ΑΤΗΕ8477.3</t>
  </si>
  <si>
    <t>ΑΤΗΕ8608.1.7</t>
  </si>
  <si>
    <t>ΑΤΗΕ Ν8478.31.8</t>
  </si>
  <si>
    <t>ΑΤΗΕ Ν8693.12.34</t>
  </si>
  <si>
    <t>ΑΤΗΕ Ν8264.2.3</t>
  </si>
  <si>
    <t>ΗΛΜ30</t>
  </si>
  <si>
    <t>ΗΛΜ 80</t>
  </si>
  <si>
    <t>ΗΛΜ 40</t>
  </si>
  <si>
    <t>ΥΔΡ 6621.1</t>
  </si>
  <si>
    <t>ΗΛΜ11</t>
  </si>
  <si>
    <t>ΗΛΜ31</t>
  </si>
  <si>
    <t>ΗΛΜ 11</t>
  </si>
  <si>
    <t>ΗΛΜ 12</t>
  </si>
  <si>
    <t>ΗΛΜ 24</t>
  </si>
  <si>
    <t>ATHE 8841.2.4.ΣΧ</t>
  </si>
  <si>
    <t>ATHE 8840.2.5.1ΣΧ</t>
  </si>
  <si>
    <t>ΑΤΗΕ 8993.2.2</t>
  </si>
  <si>
    <t>ATHE 8796.1.6 Σχετ</t>
  </si>
  <si>
    <t>ΑΤΗΕ8733.2.3</t>
  </si>
  <si>
    <t>ATHE 8826.1.1 Σχ</t>
  </si>
  <si>
    <t>ATHE 8826.1.2 Σχ</t>
  </si>
  <si>
    <t xml:space="preserve">ATHE 8796.1.4 Σχ                            </t>
  </si>
  <si>
    <t>ATHE 8796.1.2 Σχ</t>
  </si>
  <si>
    <t>ΑΤΗΕ8734.1.6.ΣΧ</t>
  </si>
  <si>
    <t>ΕΚΣΚΑΦΗ ΧΑΝΔΑΚΑ ΣΕ ΕΔΑΦΟΣ ΗΜΙΒΡΑΧΩΔΕΣ</t>
  </si>
  <si>
    <t>ΦΡΕΑΤΙΟ ΓΕΙΩΣΗΣ ΑΛΕΞΙΚΕΡΑΥΝΟΥ 25Χ25Χ50</t>
  </si>
  <si>
    <t>ΧΥΤΟΣΙΔΗΡΑ ΚΑΛΥΜΜΑΤΑ ΦΡΕΑΤΙΩΝ</t>
  </si>
  <si>
    <t>ΑΤΗΕ 9307.1 Σχετ</t>
  </si>
  <si>
    <t xml:space="preserve">ΑΤΗΕΝ9730.1.3 </t>
  </si>
  <si>
    <t xml:space="preserve">ΑΤΗΕΝ9730.2 </t>
  </si>
  <si>
    <t xml:space="preserve">ΑΤΗΕ Ν9730.3 </t>
  </si>
  <si>
    <t xml:space="preserve">ΑΤΗΕ Ν9601.5 </t>
  </si>
  <si>
    <t xml:space="preserve">ΑΤΗΕ Ν9730.4 </t>
  </si>
  <si>
    <t>ΑΤΗΕΝ9730.101.1</t>
  </si>
  <si>
    <t>ΑΤΗΕΝ9922.21.17</t>
  </si>
  <si>
    <t>ΑΤΗΕΝ9922.21.18</t>
  </si>
  <si>
    <t>ΑΤΗΕΝ9561.28.1</t>
  </si>
  <si>
    <t>ΑΤΗΕΝ9561.28.1.σχ</t>
  </si>
  <si>
    <t>ΑΤΗΕ8759.1.3.σχ</t>
  </si>
  <si>
    <t>Ν9922.21.18.σχ</t>
  </si>
  <si>
    <t>ΗΛΜ61</t>
  </si>
  <si>
    <t>ΠΛΗΚΤΡΟΛΟΓΙΟ LED ΑΦΗΣ</t>
  </si>
  <si>
    <t>ΑΝΙΧΝΕΥΤΗΣ ΚΙΝΗΣΗΣ ΑΣΥΡΜΑΤΟΣ</t>
  </si>
  <si>
    <t>ΣΕΙΡΗΝΑ ΕΣΩΤΕΡΙΚΟΥ ΧΩΡΟΥ ΑΥΤΟΝΟΜΗ</t>
  </si>
  <si>
    <t>ΚΑΛΩΔΙΟ ΕΙΔΙΚΟ ΕΠΙΚΟΙΝΩΝΙΑΣ ΚΑΙ ΤΡΟΦΟΔΟΣΙΑΣ ΚΑΜΕΡΩΝ</t>
  </si>
  <si>
    <t>MATRIX DVR HD ΜΕ ΣΚΛΗΡΟ ΔΙΣΚΟ ΚΑΤΑΓΡΑΦΗΣ ΗΗD 1 ΤB</t>
  </si>
  <si>
    <t xml:space="preserve">ΑΤΗΕ Ν9600.1.ΣΧ.            </t>
  </si>
  <si>
    <t xml:space="preserve">ΑΤΗΕ8778.1.8.ΣΧ           </t>
  </si>
  <si>
    <t xml:space="preserve">ΑΤΗΕ8766.3.1                    </t>
  </si>
  <si>
    <t xml:space="preserve">ΑΤΗΕ Ν\9325.12                      </t>
  </si>
  <si>
    <t>ΑΤΗΕ Ν\9325.20.ΣΧ</t>
  </si>
  <si>
    <t>ΗΛΜ62</t>
  </si>
  <si>
    <t>ΗΛΜ46</t>
  </si>
  <si>
    <t>HΛΜ52</t>
  </si>
  <si>
    <t>ΗΛΜ55</t>
  </si>
  <si>
    <t>ΗΛΜ45</t>
  </si>
  <si>
    <t>ΗΛΜ102</t>
  </si>
  <si>
    <t>HΛM41</t>
  </si>
  <si>
    <t>HΛM5</t>
  </si>
  <si>
    <t>ΗΛΜ101</t>
  </si>
  <si>
    <t>ΟΔΟ-2532</t>
  </si>
  <si>
    <t>ΗΛΜ6</t>
  </si>
  <si>
    <t>ΗΛΜ103</t>
  </si>
  <si>
    <t>HΛM49</t>
  </si>
  <si>
    <t>ΗΛΜ34</t>
  </si>
  <si>
    <t>Μεταφορές με αυτοκίνητο δια μέσου οδών καλής βατότητας</t>
  </si>
  <si>
    <t>ΟΙΚ-1136</t>
  </si>
  <si>
    <t>ton.km</t>
  </si>
  <si>
    <t>Eκσκαφή θεμελίων και τάφρων χωρίς τη χρήση μηχανικών μέσων, χωρίς την καθαρή μεταφορά των προϊόντων εκσκαφής σε εδάφη γαιώδη-ημιβραχώδη</t>
  </si>
  <si>
    <t>20.04.01</t>
  </si>
  <si>
    <t>ΟΙΚ-2122</t>
  </si>
  <si>
    <t>Eκσκαφή θεμελίων και τάφρων χωρίς τη χρήση μηχανικών μέσων, χωρίς την καθαρή μεταφορά των προϊόντων εκσκαφής, σε εδάφη βραχώδη, εκτός από γρανιτικά-κροκαλοπαγή, χωρίς χρήση εκρηκτικών υλών</t>
  </si>
  <si>
    <t>20.04.02</t>
  </si>
  <si>
    <t>ΟΙΚ-2125</t>
  </si>
  <si>
    <t>Εκσκαφές μεμονωμένες (ντουλάπια)</t>
  </si>
  <si>
    <t>Χειρονακτική διακίνηση προϊόντων εκσκαφών και κατεδαφίσεων</t>
  </si>
  <si>
    <t>ton x 10m</t>
  </si>
  <si>
    <t>Καθαίρεση θεμελίων από αργολιθοδομή ή λιθοδομή</t>
  </si>
  <si>
    <t>Διαλογή των χρησίμων λίθων από τα προϊόντα καθαιρέσεως</t>
  </si>
  <si>
    <t>Καθαίρεση επικεραμώσεων με προσοχή, για την εξαγωγή ακεραίων πλακών σε ποσοστό άνω του 50%</t>
  </si>
  <si>
    <t>Συνήθη ξύλινα σταθερά ικριώματα</t>
  </si>
  <si>
    <t>23.02</t>
  </si>
  <si>
    <t>ΟΙΚ-2302</t>
  </si>
  <si>
    <t>Μανδύας εκτοξευόμενου σκυροδέματος κατηγορίας C20/25 επί παντός είδους κατακόρυφων ή οριζόντιων στοιχείων οπλισμένου σκυροδέματος</t>
  </si>
  <si>
    <t>Χαλύβδινοι οπλισμοί κατηγορίας B500C (S500s)</t>
  </si>
  <si>
    <t>38.20.02</t>
  </si>
  <si>
    <t>Αργολιθοδομές με ασβεστοτσιμεντοκονίαμα μιάς ορατής όψεως</t>
  </si>
  <si>
    <t>Κάλυψη οροφής με σανίδες καστανιάς (πάχους 2 cm) και επεξεργασία αυτών</t>
  </si>
  <si>
    <t>Υαλοστάσια (τζαμλίκια ή παράθυρα χωρίς παντούρια) μικρά (&lt;1m2) από ξυλεία καστανιάς ανοιγόμενα, οριζόντια ή κατακόρυφα περιστρεφόμενα, πολύφυλλα.</t>
  </si>
  <si>
    <t>Γωνιόκρανα προστασίας κατακορύφων ακμών επιχρισμάτων</t>
  </si>
  <si>
    <t>Αρμολογήματα ακατεργάστων όψεων λιθοδομών</t>
  </si>
  <si>
    <t>71.01.01</t>
  </si>
  <si>
    <t>ΟΙΚ 7101</t>
  </si>
  <si>
    <t>Επιχρίσματα τριπτά - τριβιδιστά με τσιμεντοκονίαμα</t>
  </si>
  <si>
    <t>71.21</t>
  </si>
  <si>
    <t>ΟΙΚ 7121</t>
  </si>
  <si>
    <t>Πολιτικός Μηχανικός</t>
  </si>
  <si>
    <t>Αναστασία Πατσιούρα</t>
  </si>
  <si>
    <t>Μηχανολόγος Μηχανικός</t>
  </si>
  <si>
    <t xml:space="preserve">  10-08-2016</t>
  </si>
  <si>
    <t xml:space="preserve">   56/2016</t>
  </si>
  <si>
    <t>για τις Οικοδομικές εργασίες</t>
  </si>
  <si>
    <t>για τις μηχανολογικές εργασίες</t>
  </si>
  <si>
    <t>Αναστήλωση και εκσυγχρονισμός της οικίας Κότσιανου με μετατροπή σε λαογραφικό μουσείο και χώρο πολιτισμού</t>
  </si>
  <si>
    <t>Α2. ΣΚΥΡΟΔΕΜΑΤΑ</t>
  </si>
  <si>
    <t>Α3. ΤΟΙΧΟΠΟΙΪΕΣ, ΕΠΙΧΡΙΣΜΑΤΑ</t>
  </si>
  <si>
    <t>Α5. ΚΑΤΑΣΚΕΥΕΣ ΞΥΛΙΝΕΣ Ή ΜΕΤΑΛΛΙΚΕΣ</t>
  </si>
  <si>
    <t>Α6. ΛΟΙΠΑ ΤΕΛΕΙΩΜΑΤΑ</t>
  </si>
  <si>
    <t>Προετοιμασία επιχρισμένων επιφανειών τοίχων για χρωματισμούς</t>
  </si>
  <si>
    <t>Προετοιμασία ξυλίνων επιφανειών για χρωματισμούς</t>
  </si>
  <si>
    <t>Αντισκωριακές βαφές. Εφαρμογή αντισκωριακού υποστρώματος ενός συστατικού βάσεως νερού η διαλύτου αλκυδικής, ακρυλικής ή τροποποιημένης αλκυδικής ή ακρυλικής ρητίνης</t>
  </si>
  <si>
    <t>Υπόστρωμα (αστάρι) τσιμεντοχρωμάτων από ακρυλικές ρητίνες βάσεως διαλύτου</t>
  </si>
  <si>
    <t>Ελαιοχρωματισμοί κοινοί σιδηρών επιφανειώνμε χρώματα αλκυδικών ή ακρυλικών ρητινών, βάσεως νερού η διαλύτου</t>
  </si>
  <si>
    <t>Βερνικοχρωματισμοί ξυλίνων επιφανειών με βερνικόχρωμα δύο συστατικών βάσεως νερού η διαλύτου.</t>
  </si>
  <si>
    <t>Εξωτερικών επιφανειών με χρήση χρωμάτων, ακρυλικής ή στυρενιο-ακριλικής βάσεως.</t>
  </si>
  <si>
    <t>Εσωτερικών επιφανειών με χρήση ακρυλικών χρωμάτων, ακρυλικής ή πολυβινυλικής βάσεως.</t>
  </si>
  <si>
    <t>77.15</t>
  </si>
  <si>
    <t>77.16</t>
  </si>
  <si>
    <t>77.20.01</t>
  </si>
  <si>
    <t>77.30</t>
  </si>
  <si>
    <t>77.55</t>
  </si>
  <si>
    <t>77.71.03</t>
  </si>
  <si>
    <t>77.80.02</t>
  </si>
  <si>
    <t>77.81.01</t>
  </si>
  <si>
    <t>ΟΙΚ 7735</t>
  </si>
  <si>
    <t>ΟΙΚ 7736</t>
  </si>
  <si>
    <t>ΟΙΚ 7744</t>
  </si>
  <si>
    <t>ΟΙΚ 7755</t>
  </si>
  <si>
    <t>ΟΙΚ 7771</t>
  </si>
  <si>
    <t>ΟΙΚ 7785.1</t>
  </si>
  <si>
    <t>ΟΙΚ 7786.1</t>
  </si>
  <si>
    <t>Βερνικοχρωματισμοί ξυλίνων επιφανειών με ελαιόχρωμα αλκυδικής ή τροποποιημένης πολυουρεθανικής ρητίνης, βάσεως νερού η διαλύτου</t>
  </si>
  <si>
    <t>77.71.01</t>
  </si>
  <si>
    <t>Επικεράμωση με κεραμίδια ρωμαϊκού τύπου</t>
  </si>
  <si>
    <t>72.16</t>
  </si>
  <si>
    <t>ΟΙΚ 7211</t>
  </si>
  <si>
    <t>Γυψοσανίδες κοινές, επίπεδες, πάχους 12,5 mm</t>
  </si>
  <si>
    <t>78.05.01</t>
  </si>
  <si>
    <t>ΟΙΚ 7809</t>
  </si>
  <si>
    <t>Μεταλλικός σκελετός τοιχοπετάσματος</t>
  </si>
  <si>
    <t>61.31</t>
  </si>
  <si>
    <t>ΟΙΚ 6118</t>
  </si>
  <si>
    <t>79.36.Σχ.1</t>
  </si>
  <si>
    <t>ΟΙΚ 7936</t>
  </si>
  <si>
    <t>32.15.Σχ.1</t>
  </si>
  <si>
    <r>
      <t>(689,36-231,30-12,6*3-8,49*3,5)</t>
    </r>
    <r>
      <rPr>
        <sz val="11"/>
        <color theme="1"/>
        <rFont val="Calibri"/>
        <family val="2"/>
        <charset val="161"/>
        <scheme val="minor"/>
      </rPr>
      <t>*0,2</t>
    </r>
  </si>
  <si>
    <r>
      <t>(689,36-231,30-12,6*3-8,49*3,5)</t>
    </r>
    <r>
      <rPr>
        <sz val="11"/>
        <color theme="1"/>
        <rFont val="Calibri"/>
        <family val="2"/>
        <charset val="161"/>
        <scheme val="minor"/>
      </rPr>
      <t>*0,4</t>
    </r>
  </si>
  <si>
    <t>(7,31+1)*1,3*1,5+(7,67+1)*1,3*1,5+(17,49+1)*1,3*1,5+((5,08+0,2)+(3,12+0,2)+(5,48+0,2)+2*(5,04+0,2)+2*(4,97+0,2)+(3,48+0,2)+(2,88+0,2)+(3,48+0,2)+(1,76+0,2)+(5,13+0,2)+(5,17+0,2)+(3,47+0,2)+(1,80+0,2)+(3,64+0,2)+(1,80+0,2))*1,3*1,5</t>
  </si>
  <si>
    <t>Φορτοεκφόρτωση προϊόντων εκσκαφών με μηχανικά μέσα (υλικά εκθάμνωσης και μεμονωμένες εκσκαφές)</t>
  </si>
  <si>
    <t>0,3*(5,08*3,48+3,12*11,2+4,97*3,55+2,88*5,02+3,36*5,03+4,79*7,03)*,60</t>
  </si>
  <si>
    <t>0,7*(5,08*3,48+3,12*11,2+4,97*3,55+2,88*5,02+3,36*5,03+4,79*7,03)*,61</t>
  </si>
  <si>
    <t>20.04</t>
  </si>
  <si>
    <t>Eκσκαφή θεμελίων και τάφρων χωρίς τη χρήση μηχανικών μέσων, χωρίς την καθαρή μεταφορά των προϊόντων εκσκαφής</t>
  </si>
  <si>
    <t>0,3*(689,36-231,30-12,6*3-8,49*3,5)*0,6</t>
  </si>
  <si>
    <t>0,7*(689,36-231,30-12,6*3-8,49*3,5)*0,6</t>
  </si>
  <si>
    <t>για αυλή</t>
  </si>
  <si>
    <t>γιατί καθαρίζονται και οι οροφές?</t>
  </si>
  <si>
    <t>(12,56+12,89+15,88+15,77)*8</t>
  </si>
  <si>
    <t>Ενίσχυση και αποκατάσταση υφιστάμενης ξύλινης σκάλας</t>
  </si>
  <si>
    <t>Ενίσχυση Θεμελίωσης  ((7,31+1)+(7,67+1)+(17,49+1)+((5,08+0,2)+(3,12+0,2)+(5,48+0,2)+2*(5,04+0,2)+2*(4,97+0,2)+(3,48+0,2)+(2,88+0,2)+(3,48+0,2)+(1,76+0,2)+(5,13+0,2)+(5,17+0,2)+(3,47+0,2)+(1,80+0,2)+(3,64+0,2)+(1,80+0,2)))*(0,8*1,3+0,75/2*0,5)
Εδαφόπλακα (5,08*3,48+3,12*11,2+4,97*3,55+2,88*5,02+3,36*5,03+4,79*7,03)*,15
Ανελκυστήρας 1,85*0,5*10,14*2+1,70*0,5*10,14*2 
Πέδιλα τοίχων Αντιστήριξης (2,20+0,85+6,16+6,75)*1*0,3
Κλίμακες και Ράμπα ΝΑ όψης (5,50+2,40+1,80+2,40+3,25)*1,20*0,20</t>
  </si>
  <si>
    <t xml:space="preserve">Τρέχ. Μέτρα Θέμελιωσης: 93,3
Θεμελίωση: 44*2,98*93,3+(2,3/0,15*2+1/0,15*2)*1,58*120+2*(3,80+3,2+2,6)*1/0,15*0,888*120+(2+1,40)*1/0,15*0,888*93,3
Aσανσέρ: (1,85/0,20*1,7+1,7/0,2*1,85)*2*0,888+2*(7,1/0,125*1+1/0,125*7,1)*1,58
</t>
  </si>
  <si>
    <t>Τοποθέτηση χαλύβδινων αγγυρίων Φ16 σε λιθοδομή, σε βάθος 40 εκ.
(2*15,77+4*12,56+2*5,02+4,97)/0,20*4</t>
  </si>
  <si>
    <t>Ενίσχυση Δαπ. Ισογ.+Οροφ. με IPE140:
2*((9+9)*11,2+19*3,52)*14,63 
Γωνιακά επί των τοίχων:
2*(5,08*10+11,20*2)*3,06
Ανελκυστήρας: 4*10,14*14,42+(6*2*1,60+12*2*2,23+12*1,60+6*1,60+6*1,58)*11,44+(Αγκύρια)3,14*0,25*0,024^2*0,56*4*4*7850</t>
  </si>
  <si>
    <t>Υπόγειο 10*3,00, Ισόγειο  14*3,30, Όροφος 2*3,45</t>
  </si>
  <si>
    <t>ΝΑ Όψη  ((3,64+2*1)/0,1)*0,02^2*1  
ΝΔ όψη ((2,2+1,9+1,77*2)/0,1)*0,02^2*1)*7850</t>
  </si>
  <si>
    <t>19*1,5</t>
  </si>
  <si>
    <t>75.41.01Σχ.</t>
  </si>
  <si>
    <t>ΟΙΚ 7541</t>
  </si>
  <si>
    <t>Υπόγειο: 1,4*0,69*2
Ισόγειο: 0,75*0,38*2+0,75*0,32+0,90*0,80+0,75*1,1*3+0,75*1,06*2+0,75*(0,66+0,96+0,91) 
Όροφος: 0,75*0,38*2+0,75*0,32+0,90*0,80+0,75*1,1*3+0,75*1,06*2+0,75*(0,66+0,96+0,91)</t>
  </si>
  <si>
    <t>Οψεις Κτιρίου: ΒΔ Όψη 129,789 ΝΑ Όψη 205,924 ΝΔ Όψη 315,768 ΒΑ Όψη 134,097 
Θεμελίωση: 12,56*1,40*2+15,77*1,40*2+12,89*1,40*2+15,88*1,40*2+5,01*1,40*2*2+11,14*1,40*2*2+5*1,40*2+5*1,40*2+14,19*17,48-(1,88*3,51+1,37*3,44+,56*1,47+1,76*3,41+5,43*3,37+3,37*1,95)</t>
  </si>
  <si>
    <t>10.07.01</t>
  </si>
  <si>
    <t>Eκσκαφή θεμελίων και τάφρων με χρήση μηχανικών μέσων, με την καθαρή μεταφορά των προϊόντων εκσκαφής σε εδάφη γαιώδη-ημιβραχώδη</t>
  </si>
  <si>
    <t>Eκσκαφή θεμελίων και τάφρων με χρήση μηχανικών μέσων, με την καθαρή μεταφορά των προϊόντων εκσκαφής, σε εδάφη βραχώδη, εκτός από γρανιτικά-κροκαλοπαγή, χωρίς χρήση εκρηκτικών υλών</t>
  </si>
  <si>
    <t>(156,22+78,11)*,25+205,101+24,35+56,83</t>
  </si>
  <si>
    <t>2,1*344,8635*1</t>
  </si>
  <si>
    <t>724,21335*5</t>
  </si>
  <si>
    <t>Eκσκαφή θεμελίων και τάφρων με χρήση μηχανικών μέσων, με την καθαρή μεταφορά των προϊόντων εκσκαφής</t>
  </si>
  <si>
    <t>Εξώστες Ορόφου (2,20+3,64)*16</t>
  </si>
  <si>
    <t>22.15.03</t>
  </si>
  <si>
    <t>Καθαίρεση συνήθων κατασκευών, όπως τμημάτων πλακών, τοιχωμάτων, προβόλων κλπ ή διανοίξεις οπών σε αυτά, με εφαρμογή τεχνικών αδιατάρακτης κοπής</t>
  </si>
  <si>
    <t>Καθαίρεση μεμονωμένων στοιχείων κατασκευών από άοπλο σκυρόδεμα, με εφαρμογή συνήθων μεθόδων καθαίρεσης</t>
  </si>
  <si>
    <t>Καθαίρεση μεμονωμέν. στοιχείων κατασκευών από οπλισμένο σκυρόδεμα, με εφαρμογή συνήθων μεθόδων καθαίρεσης</t>
  </si>
  <si>
    <t>Καθαίρεση πλακοστρώσεων δαπέδων παντός τύπου και οιουδήποτε πάχους, χωρίς να καταβάλλεται προσοχή για την εξαγωγή ακεραίων πλακών</t>
  </si>
  <si>
    <t>Καθαίρεση επιστρώσεων τοίχων παντός τύπου, χωρίς να καταβάλλεται προσοχή για την εξαγωγή ακεραίων πλακών</t>
  </si>
  <si>
    <t>Καθαίρεση επικεραμώσεων με προσοχή για την εξαγωγή ακέραιων πλακών σε ποσοστό άνω του 50%</t>
  </si>
  <si>
    <t>Διαμόρφωση ανοιγμάτων σε λιθοδομές, για οπές επιφανείας 0,51 m2 έως 1,00 m2</t>
  </si>
  <si>
    <t>Διάνοιξη αυλακιού σε λιθοδομή ή άοπλο σκυρόδεμα, για πλάτος αυλακιού έως 0,10 m</t>
  </si>
  <si>
    <t>Οπλισμός σκυροδέματος από ανοξείδωτο χάλυβα. Τοποθέτηση χαλύβδινων αγγυρίων Φ16 σε λιθοδομή</t>
  </si>
  <si>
    <t>Πλακοστρώσεις ΝΑ+ΝΔ Όψεων (3,64+5,49)*9,28*0,5+(5,36+3,46)*1,10+5,55*1,10 και Εξωτερικού χώρου 180</t>
  </si>
  <si>
    <t>Στογγυλοποίηση</t>
  </si>
  <si>
    <t>(5,08*3,48+3,12*11,2+4,97*3,55+2,88*5,02+3,36*5,03+4,79*7,03)*,3 και εξωτερικά 180*0,20</t>
  </si>
  <si>
    <t>Αποξήλωση κιγκλιδωμάτων για μεταλλικά κιγκλιδώματα</t>
  </si>
  <si>
    <t>Μπετόν καθαριότητας (5,08*3,48+3,12*11,2+4,97*3,55+2,88*5,02+3,36*5,03+4,79*7,03)*,10+180*,12</t>
  </si>
  <si>
    <t xml:space="preserve">Τσιμεντένεση ειδικών προδιαγραφών                          </t>
  </si>
  <si>
    <t>Τοποθέτηση οπλισμών από ανοξείδωτο χάλυβα Φ16 σε λιθοδομή</t>
  </si>
  <si>
    <t>ΚΑΛΩΔΙΟ ΒΡΟΓΧΟΥ ΘΩΡΑΚΙΣΜΕΝΟ 2χ1,5 ΜΜ2</t>
  </si>
  <si>
    <t xml:space="preserve"> ΦΩΤΙΣΤΙΚΟ ΑΣΦΑΛΕΙΑΣ</t>
  </si>
  <si>
    <t>ΠΑΤΗΤΟ ΚΟΜΒΙΟ ΣΥΝΑΓΕΡΜΟΥ</t>
  </si>
  <si>
    <t>ΦΟΡΗΤΟΣ ΠΥΡΟΣΒΕΣΤΗΡ ΔΙΟΞΕΙΔΙΟΥ ΤΟΥ ΑΝΘΡΑΚA 6 Κg  (CO2 6)</t>
  </si>
  <si>
    <t xml:space="preserve">ΠΥΡΟΣΒΕΣΤΙΚΟ ΦΩΛΙΑ </t>
  </si>
  <si>
    <t>Δύο εκατομμύρια τριακόσιες δεκαέξι  χιλιάδες τετρακόσια σαράντα εννέα ευρώ και σαράντα τρία λεπτά</t>
  </si>
  <si>
    <t>Α1.  ΧΩΜΑΤΟΥΡΓΙΚΑ ΚΑΘΑΙΡΕΣΕΙΣ</t>
  </si>
  <si>
    <t>ΟΙΚ 7609.2</t>
  </si>
  <si>
    <t>Καθαίρεση  στοιχείων κατασκευών από άοπλο σκυρόδεμα  Με χρήση συνήθους κρουστικού εξοπλισμού</t>
  </si>
  <si>
    <t>Καθαίρεση  στοιχείων κατασκευών από οπλισμένο σκυρόδεμα.  Με χρήση συνήθους κρουστικού εξοπλισμού</t>
  </si>
  <si>
    <t>Καθαίρεση  στοιχείων κατασκευών από οπλισμένο σκυρόδεμα. Με εφαρμογή τεχνικών αδιατάρακτης κοπής</t>
  </si>
  <si>
    <t>ΟΙΚ 4307</t>
  </si>
  <si>
    <t>Στεγανοποιητικά μάζας σκυροδέματος (πρόσμικτα μείωσης υδατοπερατότητας) κατά ΕΛΟΤ ΕΝ 934-2</t>
  </si>
  <si>
    <t>Πρόσμικτα μείωσης λόγου νερού προς τσιμέντο, κατά ΕΛΟΤ EN 934-2</t>
  </si>
  <si>
    <t>ΚΑΛΩΔΙΟ ΧΕΙΡΙΣΜΟΥ ΗΛΕΚΤΡΟΒΑΝΩΝ ΑΠΌ ΒΜS NYY-J 10X1.5 mm2</t>
  </si>
  <si>
    <t>ΚΑΛΩΔΙΟ ΝΥΥ-J 10Χ1.5 mm2</t>
  </si>
  <si>
    <t>ΗΛΕΚΤΡΟΛΟΓΙΚΟΣ ΣΩΛΗΝΑΣ  Φ16</t>
  </si>
  <si>
    <t>ΥΔΡ 5.08</t>
  </si>
  <si>
    <t>ΑΤΗΕ 8169.1.2.σχ.</t>
  </si>
  <si>
    <t>ΑΤΗΕ8168.2.σχ.</t>
  </si>
  <si>
    <t>ΑΤΗΕ 8141.2.2</t>
  </si>
  <si>
    <t>ΑΤΗΕ8141.3.2</t>
  </si>
  <si>
    <t>ΑΤΗΕ 8259.1</t>
  </si>
  <si>
    <t>ΗΛΜ 25</t>
  </si>
  <si>
    <t>ΗΛΜ 34</t>
  </si>
  <si>
    <t>ΑΤΗΕ 8036.6.σχ</t>
  </si>
  <si>
    <t>ΑΤΗΕ 8036.4.σχ</t>
  </si>
  <si>
    <t>Η1.1.1.2</t>
  </si>
  <si>
    <t>Η1.1.1.2.σχ.</t>
  </si>
  <si>
    <t>ΑΤΗΕ 8101.5.σχ</t>
  </si>
  <si>
    <t>ΑΤΗΕ8125.1.5</t>
  </si>
  <si>
    <t>ΑΤΗΕ 8101.3.σχ</t>
  </si>
  <si>
    <t>ΑΤΗΕ 8115.1</t>
  </si>
  <si>
    <t>ΑΤΗΕ 8131.1.2</t>
  </si>
  <si>
    <t>ΑΤΗΕ 8115.5</t>
  </si>
  <si>
    <t>ΑΤΗΕ 8131.2.1</t>
  </si>
  <si>
    <t>ΑΤΗΕ 8131.1.3.σχ</t>
  </si>
  <si>
    <t>ATHE 8153.2.σχ</t>
  </si>
  <si>
    <t>ΑΤΗΕ 8036.3.σχ</t>
  </si>
  <si>
    <t>ΗΛΜ 47</t>
  </si>
  <si>
    <t xml:space="preserve">ΑΤΗΕ8778.1.8        </t>
  </si>
  <si>
    <t>ΑΤΗΕ8125.1.3</t>
  </si>
  <si>
    <t>ΑΤΗΕ Λ4</t>
  </si>
  <si>
    <t>ΑΤΗΕ8773.3.1</t>
  </si>
  <si>
    <t xml:space="preserve">ΑΤΗΕ Ν8606.1 </t>
  </si>
  <si>
    <t xml:space="preserve">ΥΔΡ Ν7122 </t>
  </si>
  <si>
    <t>ΥΔΡ6622</t>
  </si>
  <si>
    <t>ΥΔΡ7122</t>
  </si>
  <si>
    <t xml:space="preserve">ΑΤΗΕ 8951.ΣΧ                                </t>
  </si>
  <si>
    <t>ΗΛΜ51</t>
  </si>
  <si>
    <t>ΗΛΜ60</t>
  </si>
  <si>
    <t>ΗΛΜ59</t>
  </si>
  <si>
    <t>ΑΤΗΕ  8981.ΣΧ.</t>
  </si>
  <si>
    <t>ΑΤΗΕ 8981.ΣΧ</t>
  </si>
  <si>
    <t>ΑΤΗΕ8749.1.ΣΧ</t>
  </si>
  <si>
    <t>ΑΤΗΕ 60.20.40.11</t>
  </si>
  <si>
    <t>ΑΤΗΕ60.20.40.12</t>
  </si>
  <si>
    <t>ΑΤΗΕ60.10.40.03</t>
  </si>
  <si>
    <t xml:space="preserve">ΑΤΗΕ 9331.2.3                 </t>
  </si>
  <si>
    <t xml:space="preserve">ΑΤΗΕ 9331.3.3             </t>
  </si>
  <si>
    <t>ΗΛΜ 1</t>
  </si>
  <si>
    <t xml:space="preserve"> ΑΤΗΕ  9345.ΣΧ.          </t>
  </si>
  <si>
    <t>ΑΤΗΕ9346.ΣΧ.</t>
  </si>
  <si>
    <t>Ρευματοδότης σούκο χωνευτός ή καναλάτος</t>
  </si>
  <si>
    <t>ΑΤΗΕ8827.3.2.ΣΧ</t>
  </si>
  <si>
    <t>Ψηφιακός αναλυτής ενέργειας ράγιας modbus</t>
  </si>
  <si>
    <t>ATHE Ν9533.1.1.ΣΧ</t>
  </si>
  <si>
    <t>ATHE Ν9602.2.ΣΧ.</t>
  </si>
  <si>
    <t>ATHE Ν9600.4.ΣΧ.</t>
  </si>
  <si>
    <t>ATHE Ν9533.1.ΣΧ.</t>
  </si>
  <si>
    <t>ΗΛΜ 63</t>
  </si>
  <si>
    <t>ΑΥΤΟΜΑΤΟ ΣΥΣΤΗΜΑ ΠΥΡΟΣΒΕΣΗΣ ΜΕ ΦΙΑΛΗ PA 25 KGR</t>
  </si>
  <si>
    <t xml:space="preserve">ΑΤΗΕ Ν9531.4 </t>
  </si>
  <si>
    <t xml:space="preserve">ΑΤΗΕ Ν9532.1 </t>
  </si>
  <si>
    <t>ΚΑΝΑΛΙ ΕΜΦΑΝΕΣ 105Χ50 ΜΕ ΚΑΛΥΜΜΑ ΛΕΥΚΟ</t>
  </si>
  <si>
    <t>ΦΟΡΗΤΟΣ ΠΥΡΟΣΒΕΣΤΗΡ ΞΗΡΑΣ ΚΟΝΕΩΣ 12 Κg  (CO2 12)</t>
  </si>
  <si>
    <t>ΚΕΝΤΡΟ ΠΥΡΑΝΙΧΝΕΥΣΗΣ  4 ΖΩΝΩΝ</t>
  </si>
  <si>
    <t>ΑΤΗΕ ΝΕΟΝ8206.2.1</t>
  </si>
  <si>
    <t>ΗΛΜ 17</t>
  </si>
  <si>
    <t>ΑΤΗΕ ΝΕΟΝ8767.2.1</t>
  </si>
  <si>
    <t>ΑΤΗΕ ΝΕΟΝ8987.1</t>
  </si>
  <si>
    <t>ΑΤΗΕ Ν9532.2</t>
  </si>
  <si>
    <t>ΑΤΗΕ Ν9533.1</t>
  </si>
  <si>
    <t>ΗΛΕΚΤΡΙΚΗ ΣΕΙΡΗΝΑ ΣΥΝΑΓΕΡΜΟΥ</t>
  </si>
  <si>
    <t>ΑΤΗΕ Ν9533.2</t>
  </si>
  <si>
    <t>ΑΤΗΕ Υδρ.8201.1.3</t>
  </si>
  <si>
    <t>ΑΤΗΕ Υδρ.8201.1.2</t>
  </si>
  <si>
    <t>ΗΛΜ 20</t>
  </si>
  <si>
    <t>ΑΤΗΕ Υδρ.8202.2</t>
  </si>
  <si>
    <t>ΑΤΗΕ ΝΕΟΝ8204.2.1</t>
  </si>
  <si>
    <t>KAΛΩΔΙΟ ΜΕΓΑΦΩΝΙΚΗΣ ΕΓΚΑΤΑΣΤΑΣΗΣ S=2.5mm2</t>
  </si>
  <si>
    <r>
      <t xml:space="preserve">RACK </t>
    </r>
    <r>
      <rPr>
        <b/>
        <sz val="10"/>
        <rFont val="Arial"/>
        <family val="2"/>
        <charset val="161"/>
      </rPr>
      <t>24U</t>
    </r>
    <r>
      <rPr>
        <sz val="10"/>
        <rFont val="Arial"/>
        <family val="2"/>
        <charset val="161"/>
      </rPr>
      <t xml:space="preserve"> ΤΕΧΝΗΤΑ ΑΕΡΙΖΟΜΕΝΟ </t>
    </r>
  </si>
  <si>
    <t>ΠΡΑΣ.5916</t>
  </si>
  <si>
    <t xml:space="preserve">ΟΙΚ 6104Σχ.2    </t>
  </si>
  <si>
    <t>MONITOR 22'' FULL HD 4K</t>
  </si>
  <si>
    <t xml:space="preserve">ΣΩΛΗΝΑ ΠΟΤΙΣΜΑΤΟΣ Φ8 </t>
  </si>
  <si>
    <t>Β1. ΕΓΚΑΤΑΣΤΑΣΗ ΑΠΟΧΕΤΕΥΣΗΣ</t>
  </si>
  <si>
    <t>Β2. ΕΓΚΑΤΑΣΤΑΣΗ ΥΔΡΕΥΣΗΣ</t>
  </si>
  <si>
    <t>Β3. ΕΓΚΑΤΑΣΤΑΣΗ ΑΡΔΕΥΣΗΣ</t>
  </si>
  <si>
    <t>Α4.  ΕΠΙΣΤΡΩΣΕΙΣ, ΕΠΕΝΔΥΣΕΙΣ, ΧΡΩΜΑΤΙΣΜΟΙ</t>
  </si>
  <si>
    <t>ΣΥΝΟΛΟ ΧΩΜΑΤΟΥΡΓΙΚΑ ΚΑΘΑΙΡΕΣΕΙΣ</t>
  </si>
  <si>
    <t>ΣΥΝΟΛΟ ΣΚΥΡΟΔΕΜΑΤΑ</t>
  </si>
  <si>
    <t>ΣΥΝΟΛΟ ΤΟΙΧΟΠΟΙΪΕΣ, ΕΠΙΧΡΙΣΜΑΤΑ</t>
  </si>
  <si>
    <t>ΣΥΝΟΛΟ Εργασιών Κατηγορίας</t>
  </si>
  <si>
    <t>ΣΥΝΟΛΟ  ΕΠΙΣΤΡΩΣΕΙΣ, ΕΠΕΝΔΥΣΕΙΣ, ΧΡΩΜΑΤΙΣΜΟΙ</t>
  </si>
  <si>
    <t>ΣΥΝΟΛΟ ΚΑΤΑΣΚΕΥΕΣ ΞΥΛΙΝΕΣ Ή ΜΕΤΑΛΛΙΚΕΣ</t>
  </si>
  <si>
    <t>ΣΥΝΟΛΟ ΛΟΙΠΑ ΤΕΛΕΙΩΜΑΤΑ</t>
  </si>
  <si>
    <t xml:space="preserve">ΣΥΝΟΛΟ ΕΓΚΑΤΑΣΤΑΣΗΣ ΚΛΙΜΑΤΙΣΜΟΥ   </t>
  </si>
  <si>
    <t xml:space="preserve">ΣΥΝΟΛΟ ΕΓΚΑΤΑΣΤΑΣΗΣ  ΓΕΩΘΕΡΜΙΑΣ    </t>
  </si>
  <si>
    <t xml:space="preserve">ΣΥΝΟΛΟ ΗΛΕΚΤΡΟΛΟΓΙΚΗΣ ΕΓΚΑΤΑΣΤΑΣΗΣ </t>
  </si>
  <si>
    <t xml:space="preserve">ΣΥΝΟΛΟ ΕΓΚΑΤΑΣΤΑΣΗΣ ΑΛΕΞΙΚΕΡΑΥΝΟΥ    </t>
  </si>
  <si>
    <t>ΣΥΝΟΛΟ ΕΓΚΑΤΑΣΤΑΣΗΣ ΤΗΛΕΦΩΝΑ - DATA</t>
  </si>
  <si>
    <t>ΣΥΝΟΛΟ ΕΓΚΑΤΑΣΤΑΣΗΣ ΕΙΚΟΝΑΣ - ΗΧΟΥ</t>
  </si>
  <si>
    <t>ΣΥΝΟΛΟ ΕΓΚΑΤΑΣΤΑΣΗΣ ΣΥΣΤΗΜΑΤΑ ΑΣΦΑΛΕΙΑΣ</t>
  </si>
  <si>
    <t xml:space="preserve">ΣΥΝΟΛΟ ΕΓΚΑΤΑΣΤΑΣΗΣ ΑΝΕΛΚΥΣΤΗΡΑ  </t>
  </si>
  <si>
    <t>ΣΥΝΟΛΟ ΕΓΚΑΤΑΣΤΑΣΗΣ ΠΥΡΟΠΡΟΣΤΑΣΙΑΣ</t>
  </si>
  <si>
    <t>Β7. ΗΛΕΚΤΡΟΛΟΓΙΚΗ ΕΓΚΑΤΑΣΤΑΣΗ</t>
  </si>
  <si>
    <t>Β5. ΓΕΩΕΝΑΛΛΑΚΤΗΣ</t>
  </si>
  <si>
    <t>Β6. ΜΗΧΑΝΟΣΤΑΣΙΟ ΓΕΩΘΕΡΜΙΑΣ</t>
  </si>
  <si>
    <t>ΣΥΝΟΛΟ ΕΓΚΑΤΑΣΤΑΣΗΣ ΓΕΩΕΝΑΛΛΑΚΤΗ</t>
  </si>
  <si>
    <t>ΣΥΝΟΛΟ ΕΓΚΑΤΑΣΤΑΣΗΣ ΑΡΔΕΥΣΗΣ</t>
  </si>
  <si>
    <t xml:space="preserve">Β4. ΕΓΚΑΤΑΣΤΑΣΗ ΚΛΙΜΑΤΙΣΜΟΥ </t>
  </si>
  <si>
    <t xml:space="preserve">ΣΥΝΟΛΟ ΕΓΚΑΤΑΣΤΑΣΗΣ ΥΔΡΕΥΣΗΣ   </t>
  </si>
  <si>
    <t>ΣΥΝΟΛΟ ΕΓΚΑΤΑΣΤΑΣΗΣ ΑΠΟΧΕΤΕΥΣΗΣ</t>
  </si>
  <si>
    <t>ΓΕΝΙΚΟ ΣΥΝΟΛΟ ΔΑΠΑΝΩΝ ΟΙΚΟΔΟΜΙΚΩΝ ΕΡΓΑΣΙΩΝ</t>
  </si>
  <si>
    <t>ΓΕΝΙΚΟ ΣΥΝΟΛΟ ΔΑΠΑΝΩΝ Η/Μ ΕΡΓΑΣΙΩΝ</t>
  </si>
  <si>
    <t>Β8. ΑΝΑΨΥΚΤΗΡΙΟ</t>
  </si>
  <si>
    <t>ΣΥΝΟΛΟ ΑΝΑΨΥΚΤΗΡΙΟΥ</t>
  </si>
  <si>
    <t>Β9. ΑΛΕΞΙΚΕΡΑΥΝΟ</t>
  </si>
  <si>
    <t>Β10. ΤΗΛΕΦΩΝΑ - DATA</t>
  </si>
  <si>
    <t>Β11. ΕΓΚΑΤΑΣΤΑΣΗ ΕΙΚΟΝΑΣ - ΗΧΟΥ</t>
  </si>
  <si>
    <t>Β12. ΣΥΣΤΗΜΑΤΑ ΑΣΦΑΛΕΙΑΣ</t>
  </si>
  <si>
    <t>Β13. ΕΓΚΑΤΑΣΤΑΣΗ ΑΝΕΛΚΥΣΤΗΡΑ</t>
  </si>
  <si>
    <t>Β14. ΕΓΚΑΤΑΣΤΑΣΗ ΠΥΡΟΠΡΟΣΤΑΣΙΑΣ</t>
  </si>
  <si>
    <t>ΡΥΘΜΙΣΗ ΠΡΟΓΡΑΜΜΑΤΙΣΜΟΣ ΣΥΣΤΗΜΑΤΟΣ ΑΣΦΑΛΕΙΑΣ-ΚΑΜΕΡΩΝ</t>
  </si>
  <si>
    <t>κ.α.α.</t>
  </si>
  <si>
    <t>Ηλκετρ. Πίνακ. μεταλ. INOX επίτοιχος στεγάστρων στεγανός ΙΡ65 3 σειρών 390Χ650Χ204</t>
  </si>
  <si>
    <t>ΑΓΩΓΟΣ ΧΑΛΚΙΝΟΣ ΠΟΛΥΚΛΩΝΟΣ  Φ8 mm</t>
  </si>
  <si>
    <t>Πολύγυρος, 07-02-2018</t>
  </si>
  <si>
    <t>Συντάχθηκε</t>
  </si>
  <si>
    <t>Ελέγχθηκε</t>
  </si>
  <si>
    <t>Ο ΠΡΟΪΣΤΑΜΕΝΟΣ Τ.Τ.Ε.</t>
  </si>
  <si>
    <t>Φανή Κούτρα</t>
  </si>
  <si>
    <t>Ηλεκτρολόγος Μηχανικός</t>
  </si>
  <si>
    <t>με Β' βαθμό</t>
  </si>
  <si>
    <t>με Α' βαθμό</t>
  </si>
  <si>
    <t>ΔΙΕΥΘΥΝΣΗ ΤΕΧΝΙΚΩΝ ΥΠΗΡΕΣΙΩΝ</t>
  </si>
  <si>
    <t xml:space="preserve">Αρ. Μελ. </t>
  </si>
  <si>
    <t>56/2016</t>
  </si>
  <si>
    <t>ΑΝΑΛΥΤΙΚΕΣ ΠΡΟΜΕΤΡΗΣΕΙΣ ΟΙΚΟΔΟΜΙΚΩΝ ΕΡΓΑΣΙΩΝ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</si>
</sst>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"/>
  </numFmts>
  <fonts count="48" x14ac:knownFonts="1">
    <font>
      <sz val="11"/>
      <color theme="1"/>
      <name val="Calibri"/>
      <family val="2"/>
      <charset val="161"/>
      <scheme val="minor"/>
    </font>
    <font>
      <b/>
      <sz val="10"/>
      <name val="Arial Narrow"/>
      <family val="2"/>
      <charset val="161"/>
    </font>
    <font>
      <sz val="10"/>
      <name val="Arial Narrow"/>
      <family val="2"/>
      <charset val="161"/>
    </font>
    <font>
      <b/>
      <sz val="10"/>
      <color indexed="10"/>
      <name val="Arial Narrow"/>
      <family val="2"/>
      <charset val="161"/>
    </font>
    <font>
      <sz val="10"/>
      <color indexed="8"/>
      <name val="Arial Narrow"/>
      <family val="2"/>
      <charset val="161"/>
    </font>
    <font>
      <sz val="11"/>
      <name val="Calibri"/>
      <family val="2"/>
      <charset val="161"/>
    </font>
    <font>
      <sz val="11"/>
      <name val="Arial Narrow"/>
      <family val="2"/>
      <charset val="161"/>
    </font>
    <font>
      <sz val="9"/>
      <name val="Arial"/>
      <family val="2"/>
      <charset val="161"/>
    </font>
    <font>
      <b/>
      <sz val="9"/>
      <name val="Arial Narrow"/>
      <family val="2"/>
      <charset val="161"/>
    </font>
    <font>
      <sz val="11"/>
      <color indexed="8"/>
      <name val="Arial Narrow"/>
      <family val="2"/>
      <charset val="161"/>
    </font>
    <font>
      <sz val="12"/>
      <color indexed="8"/>
      <name val="Arial Narrow"/>
      <family val="2"/>
      <charset val="161"/>
    </font>
    <font>
      <b/>
      <sz val="12"/>
      <color indexed="8"/>
      <name val="Arial Narrow"/>
      <family val="2"/>
      <charset val="161"/>
    </font>
    <font>
      <b/>
      <sz val="10"/>
      <color indexed="8"/>
      <name val="Arial Narrow"/>
      <family val="2"/>
      <charset val="161"/>
    </font>
    <font>
      <b/>
      <sz val="9"/>
      <name val="Arial"/>
      <family val="2"/>
      <charset val="161"/>
    </font>
    <font>
      <sz val="10"/>
      <name val="Arial"/>
      <family val="2"/>
      <charset val="161"/>
    </font>
    <font>
      <sz val="12"/>
      <color theme="1"/>
      <name val="Arial Narrow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b/>
      <sz val="10"/>
      <name val="Arial"/>
      <family val="2"/>
      <charset val="161"/>
    </font>
    <font>
      <sz val="9"/>
      <name val="Times New Roman"/>
      <family val="1"/>
      <charset val="161"/>
    </font>
    <font>
      <b/>
      <sz val="12"/>
      <name val="Arial"/>
      <family val="2"/>
      <charset val="161"/>
    </font>
    <font>
      <b/>
      <sz val="11"/>
      <name val="Arial"/>
      <family val="2"/>
      <charset val="161"/>
    </font>
    <font>
      <sz val="12"/>
      <name val="Arial"/>
      <family val="2"/>
      <charset val="161"/>
    </font>
    <font>
      <b/>
      <u/>
      <sz val="14"/>
      <name val="Arial"/>
      <family val="2"/>
      <charset val="161"/>
    </font>
    <font>
      <sz val="11"/>
      <name val="Arial"/>
      <family val="2"/>
      <charset val="161"/>
    </font>
    <font>
      <b/>
      <sz val="11"/>
      <color theme="1"/>
      <name val="Arial"/>
      <family val="2"/>
      <charset val="161"/>
    </font>
    <font>
      <b/>
      <i/>
      <sz val="11"/>
      <name val="Arial"/>
      <family val="2"/>
      <charset val="161"/>
    </font>
    <font>
      <b/>
      <sz val="10"/>
      <color indexed="8"/>
      <name val="Arial"/>
      <family val="2"/>
      <charset val="161"/>
    </font>
    <font>
      <b/>
      <sz val="10"/>
      <color theme="1"/>
      <name val="Arial"/>
      <family val="2"/>
      <charset val="161"/>
    </font>
    <font>
      <vertAlign val="superscript"/>
      <sz val="10"/>
      <color theme="1"/>
      <name val="Arial"/>
      <family val="2"/>
      <charset val="161"/>
    </font>
    <font>
      <vertAlign val="superscript"/>
      <sz val="10"/>
      <name val="Arial"/>
      <family val="2"/>
      <charset val="161"/>
    </font>
    <font>
      <b/>
      <sz val="10"/>
      <color rgb="FFFF0000"/>
      <name val="Arial"/>
      <family val="2"/>
      <charset val="161"/>
    </font>
    <font>
      <sz val="10"/>
      <name val="Arial Greek"/>
      <charset val="161"/>
    </font>
    <font>
      <sz val="10"/>
      <color rgb="FF000000"/>
      <name val="Arial"/>
      <family val="2"/>
      <charset val="161"/>
    </font>
    <font>
      <sz val="10"/>
      <color rgb="FFFF000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indexed="8"/>
      <name val="Arial"/>
      <family val="2"/>
      <charset val="161"/>
    </font>
    <font>
      <b/>
      <sz val="12"/>
      <color theme="1"/>
      <name val="Arial"/>
      <family val="2"/>
      <charset val="161"/>
    </font>
    <font>
      <b/>
      <sz val="14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14"/>
      <name val="Arial"/>
      <family val="2"/>
      <charset val="161"/>
    </font>
    <font>
      <b/>
      <i/>
      <sz val="14"/>
      <name val="Arial"/>
      <family val="2"/>
      <charset val="161"/>
    </font>
    <font>
      <sz val="8"/>
      <name val="Arial Greek"/>
      <charset val="161"/>
    </font>
    <font>
      <b/>
      <sz val="8"/>
      <name val="Arial"/>
      <family val="2"/>
      <charset val="161"/>
    </font>
    <font>
      <sz val="9"/>
      <name val="Arial Greek"/>
      <charset val="161"/>
    </font>
    <font>
      <sz val="10"/>
      <name val="Arial Greek"/>
      <family val="2"/>
      <charset val="161"/>
    </font>
    <font>
      <sz val="8"/>
      <name val="Arial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0" fontId="32" fillId="0" borderId="0"/>
  </cellStyleXfs>
  <cellXfs count="618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/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5" fillId="0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Border="1"/>
    <xf numFmtId="2" fontId="0" fillId="0" borderId="0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5" fillId="0" borderId="0" xfId="0" applyFont="1" applyFill="1" applyBorder="1"/>
    <xf numFmtId="164" fontId="10" fillId="0" borderId="0" xfId="0" applyNumberFormat="1" applyFont="1" applyFill="1" applyBorder="1"/>
    <xf numFmtId="0" fontId="10" fillId="0" borderId="0" xfId="0" applyFont="1" applyFill="1" applyBorder="1"/>
    <xf numFmtId="0" fontId="10" fillId="0" borderId="0" xfId="0" applyFont="1" applyBorder="1"/>
    <xf numFmtId="164" fontId="11" fillId="0" borderId="0" xfId="0" applyNumberFormat="1" applyFont="1" applyFill="1" applyBorder="1"/>
    <xf numFmtId="0" fontId="11" fillId="0" borderId="0" xfId="0" applyFont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4" fontId="2" fillId="0" borderId="3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0" fillId="0" borderId="1" xfId="0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9" fillId="0" borderId="2" xfId="0" applyNumberFormat="1" applyFont="1" applyFill="1" applyBorder="1"/>
    <xf numFmtId="164" fontId="6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/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/>
    <xf numFmtId="2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8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2" fontId="9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165" fontId="7" fillId="3" borderId="4" xfId="0" applyNumberFormat="1" applyFont="1" applyFill="1" applyBorder="1" applyAlignment="1">
      <alignment vertical="center"/>
    </xf>
    <xf numFmtId="0" fontId="14" fillId="0" borderId="0" xfId="0" applyFont="1"/>
    <xf numFmtId="0" fontId="9" fillId="0" borderId="3" xfId="0" applyFont="1" applyFill="1" applyBorder="1"/>
    <xf numFmtId="2" fontId="9" fillId="3" borderId="3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vertical="center"/>
    </xf>
    <xf numFmtId="0" fontId="9" fillId="0" borderId="0" xfId="0" applyFont="1" applyFill="1"/>
    <xf numFmtId="0" fontId="9" fillId="3" borderId="0" xfId="0" applyFont="1" applyFill="1"/>
    <xf numFmtId="0" fontId="2" fillId="0" borderId="4" xfId="0" applyFont="1" applyFill="1" applyBorder="1" applyAlignment="1">
      <alignment vertical="center" wrapText="1"/>
    </xf>
    <xf numFmtId="0" fontId="0" fillId="3" borderId="0" xfId="0" applyFill="1"/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/>
    <xf numFmtId="0" fontId="4" fillId="0" borderId="1" xfId="0" applyFont="1" applyFill="1" applyBorder="1"/>
    <xf numFmtId="0" fontId="4" fillId="0" borderId="0" xfId="0" applyFont="1" applyFill="1"/>
    <xf numFmtId="4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4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/>
    <xf numFmtId="0" fontId="4" fillId="3" borderId="1" xfId="0" applyFont="1" applyFill="1" applyBorder="1"/>
    <xf numFmtId="0" fontId="2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/>
    <xf numFmtId="0" fontId="2" fillId="3" borderId="1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/>
    </xf>
    <xf numFmtId="0" fontId="12" fillId="3" borderId="1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/>
    <xf numFmtId="4" fontId="15" fillId="0" borderId="0" xfId="0" applyNumberFormat="1" applyFont="1" applyBorder="1"/>
    <xf numFmtId="4" fontId="16" fillId="0" borderId="1" xfId="0" applyNumberFormat="1" applyFont="1" applyFill="1" applyBorder="1" applyAlignment="1">
      <alignment horizontal="right" vertical="center"/>
    </xf>
    <xf numFmtId="4" fontId="16" fillId="0" borderId="8" xfId="0" applyNumberFormat="1" applyFont="1" applyFill="1" applyBorder="1" applyAlignment="1">
      <alignment horizontal="right" vertical="center"/>
    </xf>
    <xf numFmtId="4" fontId="16" fillId="0" borderId="11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1" fontId="21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4" fontId="18" fillId="0" borderId="0" xfId="1" applyNumberFormat="1" applyFont="1" applyFill="1" applyBorder="1" applyAlignment="1">
      <alignment vertical="center" wrapText="1"/>
    </xf>
    <xf numFmtId="49" fontId="20" fillId="0" borderId="0" xfId="1" applyNumberFormat="1" applyFont="1" applyFill="1" applyBorder="1" applyAlignment="1">
      <alignment horizontal="center" vertical="center"/>
    </xf>
    <xf numFmtId="49" fontId="20" fillId="0" borderId="0" xfId="1" applyNumberFormat="1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 wrapText="1"/>
    </xf>
    <xf numFmtId="1" fontId="18" fillId="0" borderId="16" xfId="0" applyNumberFormat="1" applyFont="1" applyFill="1" applyBorder="1" applyAlignment="1">
      <alignment horizontal="center" vertical="center"/>
    </xf>
    <xf numFmtId="4" fontId="18" fillId="0" borderId="16" xfId="0" applyNumberFormat="1" applyFont="1" applyFill="1" applyBorder="1" applyAlignment="1">
      <alignment horizontal="center" vertical="center" wrapText="1"/>
    </xf>
    <xf numFmtId="165" fontId="14" fillId="0" borderId="4" xfId="0" applyNumberFormat="1" applyFont="1" applyFill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4" fontId="22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/>
    </xf>
    <xf numFmtId="4" fontId="22" fillId="0" borderId="0" xfId="0" applyNumberFormat="1" applyFont="1" applyFill="1" applyBorder="1" applyAlignment="1">
      <alignment horizontal="left" vertical="center"/>
    </xf>
    <xf numFmtId="4" fontId="21" fillId="0" borderId="0" xfId="0" applyNumberFormat="1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Border="1" applyAlignment="1">
      <alignment horizontal="left" vertical="center"/>
    </xf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Border="1" applyAlignment="1" applyProtection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4" fontId="24" fillId="0" borderId="0" xfId="0" applyNumberFormat="1" applyFont="1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left" vertical="center"/>
    </xf>
    <xf numFmtId="0" fontId="21" fillId="0" borderId="0" xfId="0" applyFont="1" applyBorder="1" applyAlignment="1">
      <alignment horizontal="left" vertical="center" wrapText="1"/>
    </xf>
    <xf numFmtId="10" fontId="21" fillId="0" borderId="0" xfId="0" applyNumberFormat="1" applyFont="1" applyBorder="1" applyAlignment="1">
      <alignment vertical="center"/>
    </xf>
    <xf numFmtId="10" fontId="21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21" fillId="0" borderId="23" xfId="0" applyFont="1" applyBorder="1" applyAlignment="1" applyProtection="1">
      <alignment horizontal="left" vertical="center"/>
    </xf>
    <xf numFmtId="0" fontId="21" fillId="0" borderId="16" xfId="0" applyFont="1" applyBorder="1" applyAlignment="1" applyProtection="1">
      <alignment horizontal="left" vertical="center"/>
    </xf>
    <xf numFmtId="4" fontId="24" fillId="0" borderId="0" xfId="0" applyNumberFormat="1" applyFont="1" applyFill="1" applyAlignment="1">
      <alignment horizontal="center" vertical="center"/>
    </xf>
    <xf numFmtId="0" fontId="21" fillId="0" borderId="26" xfId="0" applyFont="1" applyBorder="1" applyAlignment="1" applyProtection="1">
      <alignment horizontal="left" vertical="center"/>
    </xf>
    <xf numFmtId="4" fontId="21" fillId="0" borderId="26" xfId="0" applyNumberFormat="1" applyFont="1" applyBorder="1" applyAlignment="1" applyProtection="1">
      <alignment horizontal="right" vertical="center"/>
    </xf>
    <xf numFmtId="0" fontId="24" fillId="0" borderId="27" xfId="0" applyFont="1" applyBorder="1" applyAlignment="1">
      <alignment horizontal="left" vertical="center" wrapText="1"/>
    </xf>
    <xf numFmtId="4" fontId="24" fillId="0" borderId="27" xfId="0" applyNumberFormat="1" applyFont="1" applyBorder="1" applyAlignment="1">
      <alignment horizontal="right" vertical="center"/>
    </xf>
    <xf numFmtId="0" fontId="24" fillId="0" borderId="28" xfId="0" applyFont="1" applyBorder="1" applyAlignment="1">
      <alignment horizontal="left" vertical="center" wrapText="1"/>
    </xf>
    <xf numFmtId="4" fontId="24" fillId="0" borderId="31" xfId="0" applyNumberFormat="1" applyFont="1" applyBorder="1" applyAlignment="1">
      <alignment horizontal="right" vertical="center"/>
    </xf>
    <xf numFmtId="0" fontId="18" fillId="0" borderId="16" xfId="0" applyFont="1" applyBorder="1" applyAlignment="1" applyProtection="1">
      <alignment horizontal="left" vertical="center"/>
    </xf>
    <xf numFmtId="10" fontId="21" fillId="0" borderId="16" xfId="0" applyNumberFormat="1" applyFont="1" applyFill="1" applyBorder="1" applyAlignment="1">
      <alignment vertical="center"/>
    </xf>
    <xf numFmtId="0" fontId="21" fillId="0" borderId="32" xfId="0" applyFont="1" applyBorder="1" applyAlignment="1">
      <alignment horizontal="left" vertical="center" wrapText="1"/>
    </xf>
    <xf numFmtId="10" fontId="21" fillId="0" borderId="16" xfId="0" applyNumberFormat="1" applyFont="1" applyBorder="1" applyAlignment="1">
      <alignment vertical="center"/>
    </xf>
    <xf numFmtId="0" fontId="0" fillId="0" borderId="34" xfId="0" applyFill="1" applyBorder="1" applyAlignment="1">
      <alignment horizontal="center" vertical="center"/>
    </xf>
    <xf numFmtId="0" fontId="24" fillId="0" borderId="0" xfId="0" applyFont="1"/>
    <xf numFmtId="0" fontId="21" fillId="0" borderId="0" xfId="0" applyFont="1" applyBorder="1" applyAlignment="1">
      <alignment horizontal="left" vertical="center"/>
    </xf>
    <xf numFmtId="4" fontId="21" fillId="0" borderId="0" xfId="0" applyNumberFormat="1" applyFont="1" applyFill="1" applyBorder="1" applyAlignment="1">
      <alignment horizontal="center" vertical="center"/>
    </xf>
    <xf numFmtId="10" fontId="21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0" xfId="0" applyFont="1"/>
    <xf numFmtId="0" fontId="17" fillId="0" borderId="0" xfId="0" applyFont="1" applyFill="1"/>
    <xf numFmtId="0" fontId="18" fillId="0" borderId="3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31" fillId="0" borderId="0" xfId="0" applyFont="1" applyFill="1"/>
    <xf numFmtId="0" fontId="17" fillId="0" borderId="15" xfId="0" applyFont="1" applyFill="1" applyBorder="1" applyAlignment="1">
      <alignment horizontal="center" vertical="center"/>
    </xf>
    <xf numFmtId="0" fontId="20" fillId="0" borderId="0" xfId="1" applyNumberFormat="1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4" fontId="0" fillId="0" borderId="0" xfId="0" applyNumberFormat="1" applyBorder="1" applyAlignment="1">
      <alignment horizontal="right" vertical="center"/>
    </xf>
    <xf numFmtId="1" fontId="21" fillId="0" borderId="0" xfId="1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 applyAlignment="1">
      <alignment horizontal="right" vertical="center"/>
    </xf>
    <xf numFmtId="1" fontId="21" fillId="0" borderId="0" xfId="1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left" vertical="center" wrapText="1"/>
    </xf>
    <xf numFmtId="0" fontId="14" fillId="0" borderId="38" xfId="0" applyFont="1" applyFill="1" applyBorder="1" applyAlignment="1">
      <alignment horizontal="center" vertical="center"/>
    </xf>
    <xf numFmtId="165" fontId="14" fillId="0" borderId="4" xfId="0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4" fillId="0" borderId="37" xfId="0" applyFont="1" applyBorder="1" applyAlignment="1">
      <alignment vertical="center"/>
    </xf>
    <xf numFmtId="0" fontId="14" fillId="0" borderId="13" xfId="0" applyFont="1" applyFill="1" applyBorder="1" applyAlignment="1">
      <alignment horizontal="left" vertical="center" wrapText="1"/>
    </xf>
    <xf numFmtId="0" fontId="33" fillId="0" borderId="0" xfId="0" applyFont="1" applyFill="1"/>
    <xf numFmtId="4" fontId="33" fillId="0" borderId="40" xfId="0" applyNumberFormat="1" applyFont="1" applyFill="1" applyBorder="1" applyAlignment="1">
      <alignment vertical="center"/>
    </xf>
    <xf numFmtId="0" fontId="2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3" fillId="0" borderId="40" xfId="0" applyFont="1" applyFill="1" applyBorder="1" applyAlignment="1">
      <alignment horizontal="center" vertical="center"/>
    </xf>
    <xf numFmtId="4" fontId="33" fillId="0" borderId="40" xfId="0" applyNumberFormat="1" applyFont="1" applyFill="1" applyBorder="1" applyAlignment="1">
      <alignment horizontal="right" vertical="center"/>
    </xf>
    <xf numFmtId="10" fontId="33" fillId="0" borderId="40" xfId="0" applyNumberFormat="1" applyFont="1" applyFill="1" applyBorder="1" applyAlignment="1">
      <alignment horizontal="center" vertical="center"/>
    </xf>
    <xf numFmtId="0" fontId="33" fillId="0" borderId="40" xfId="0" applyFont="1" applyFill="1" applyBorder="1" applyAlignment="1">
      <alignment vertical="center"/>
    </xf>
    <xf numFmtId="0" fontId="14" fillId="0" borderId="0" xfId="0" applyFont="1" applyFill="1"/>
    <xf numFmtId="0" fontId="33" fillId="0" borderId="0" xfId="0" applyFont="1" applyFill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4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left" vertical="center"/>
    </xf>
    <xf numFmtId="2" fontId="4" fillId="6" borderId="3" xfId="0" applyNumberFormat="1" applyFont="1" applyFill="1" applyBorder="1" applyAlignment="1">
      <alignment horizontal="center" vertical="center"/>
    </xf>
    <xf numFmtId="164" fontId="6" fillId="6" borderId="2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0" xfId="0" applyFill="1"/>
    <xf numFmtId="4" fontId="4" fillId="6" borderId="3" xfId="0" applyNumberFormat="1" applyFont="1" applyFill="1" applyBorder="1" applyAlignment="1">
      <alignment vertical="center"/>
    </xf>
    <xf numFmtId="4" fontId="4" fillId="6" borderId="3" xfId="0" applyNumberFormat="1" applyFont="1" applyFill="1" applyBorder="1" applyAlignment="1">
      <alignment horizontal="left" vertical="center" wrapText="1"/>
    </xf>
    <xf numFmtId="0" fontId="4" fillId="3" borderId="37" xfId="0" applyFont="1" applyFill="1" applyBorder="1"/>
    <xf numFmtId="2" fontId="4" fillId="0" borderId="37" xfId="0" applyNumberFormat="1" applyFont="1" applyFill="1" applyBorder="1" applyAlignment="1">
      <alignment horizontal="center"/>
    </xf>
    <xf numFmtId="0" fontId="4" fillId="0" borderId="37" xfId="0" applyFont="1" applyFill="1" applyBorder="1"/>
    <xf numFmtId="0" fontId="4" fillId="0" borderId="37" xfId="0" applyFont="1" applyFill="1" applyBorder="1" applyAlignment="1">
      <alignment horizontal="center"/>
    </xf>
    <xf numFmtId="2" fontId="4" fillId="6" borderId="37" xfId="0" applyNumberFormat="1" applyFont="1" applyFill="1" applyBorder="1" applyAlignment="1">
      <alignment horizontal="center"/>
    </xf>
    <xf numFmtId="0" fontId="4" fillId="6" borderId="3" xfId="0" applyFont="1" applyFill="1" applyBorder="1" applyAlignment="1">
      <alignment horizontal="left" vertical="center" wrapText="1"/>
    </xf>
    <xf numFmtId="2" fontId="4" fillId="6" borderId="3" xfId="0" applyNumberFormat="1" applyFont="1" applyFill="1" applyBorder="1" applyAlignment="1">
      <alignment horizontal="center"/>
    </xf>
    <xf numFmtId="0" fontId="2" fillId="6" borderId="3" xfId="0" applyFont="1" applyFill="1" applyBorder="1" applyAlignment="1">
      <alignment horizontal="left" vertical="center" wrapText="1"/>
    </xf>
    <xf numFmtId="4" fontId="2" fillId="6" borderId="3" xfId="0" applyNumberFormat="1" applyFont="1" applyFill="1" applyBorder="1" applyAlignment="1">
      <alignment horizontal="left" vertical="center"/>
    </xf>
    <xf numFmtId="4" fontId="2" fillId="6" borderId="3" xfId="0" applyNumberFormat="1" applyFont="1" applyFill="1" applyBorder="1" applyAlignment="1">
      <alignment horizontal="left" vertical="center" wrapText="1"/>
    </xf>
    <xf numFmtId="2" fontId="4" fillId="6" borderId="37" xfId="0" applyNumberFormat="1" applyFont="1" applyFill="1" applyBorder="1" applyAlignment="1">
      <alignment horizontal="center" vertical="center"/>
    </xf>
    <xf numFmtId="4" fontId="16" fillId="6" borderId="1" xfId="0" applyNumberFormat="1" applyFont="1" applyFill="1" applyBorder="1" applyAlignment="1">
      <alignment horizontal="right" vertical="center"/>
    </xf>
    <xf numFmtId="4" fontId="33" fillId="6" borderId="40" xfId="0" applyNumberFormat="1" applyFont="1" applyFill="1" applyBorder="1" applyAlignment="1">
      <alignment horizontal="right" vertical="center"/>
    </xf>
    <xf numFmtId="4" fontId="21" fillId="6" borderId="0" xfId="1" applyNumberFormat="1" applyFont="1" applyFill="1" applyBorder="1" applyAlignment="1">
      <alignment horizontal="right" vertical="center" wrapText="1"/>
    </xf>
    <xf numFmtId="4" fontId="16" fillId="6" borderId="3" xfId="0" applyNumberFormat="1" applyFont="1" applyFill="1" applyBorder="1" applyAlignment="1">
      <alignment horizontal="right" vertical="center"/>
    </xf>
    <xf numFmtId="4" fontId="14" fillId="6" borderId="4" xfId="0" applyNumberFormat="1" applyFont="1" applyFill="1" applyBorder="1" applyAlignment="1">
      <alignment horizontal="right" vertical="center"/>
    </xf>
    <xf numFmtId="4" fontId="20" fillId="6" borderId="0" xfId="0" applyNumberFormat="1" applyFont="1" applyFill="1" applyBorder="1" applyAlignment="1">
      <alignment horizontal="right" vertical="center"/>
    </xf>
    <xf numFmtId="4" fontId="21" fillId="6" borderId="0" xfId="0" applyNumberFormat="1" applyFont="1" applyFill="1" applyBorder="1" applyAlignment="1">
      <alignment horizontal="right" vertical="center"/>
    </xf>
    <xf numFmtId="4" fontId="14" fillId="6" borderId="0" xfId="0" applyNumberFormat="1" applyFont="1" applyFill="1" applyAlignment="1">
      <alignment horizontal="right" vertical="center"/>
    </xf>
    <xf numFmtId="4" fontId="0" fillId="6" borderId="0" xfId="0" applyNumberFormat="1" applyFill="1" applyAlignment="1">
      <alignment horizontal="right" vertical="center"/>
    </xf>
    <xf numFmtId="0" fontId="17" fillId="6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vertical="center" wrapText="1"/>
    </xf>
    <xf numFmtId="0" fontId="16" fillId="6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0" fontId="17" fillId="6" borderId="0" xfId="0" applyFont="1" applyFill="1"/>
    <xf numFmtId="0" fontId="33" fillId="6" borderId="40" xfId="0" applyFont="1" applyFill="1" applyBorder="1" applyAlignment="1">
      <alignment horizontal="center" vertical="center"/>
    </xf>
    <xf numFmtId="4" fontId="33" fillId="6" borderId="40" xfId="0" applyNumberFormat="1" applyFont="1" applyFill="1" applyBorder="1" applyAlignment="1">
      <alignment vertical="center"/>
    </xf>
    <xf numFmtId="0" fontId="34" fillId="6" borderId="0" xfId="0" applyFont="1" applyFill="1"/>
    <xf numFmtId="0" fontId="33" fillId="6" borderId="0" xfId="0" applyFont="1" applyFill="1"/>
    <xf numFmtId="4" fontId="14" fillId="6" borderId="40" xfId="0" applyNumberFormat="1" applyFont="1" applyFill="1" applyBorder="1" applyAlignment="1">
      <alignment horizontal="right" vertical="center"/>
    </xf>
    <xf numFmtId="0" fontId="18" fillId="0" borderId="37" xfId="0" applyFont="1" applyFill="1" applyBorder="1" applyAlignment="1">
      <alignment horizontal="left" vertical="center" wrapText="1"/>
    </xf>
    <xf numFmtId="0" fontId="14" fillId="0" borderId="37" xfId="0" applyFont="1" applyFill="1" applyBorder="1" applyAlignment="1">
      <alignment horizontal="left" vertical="center"/>
    </xf>
    <xf numFmtId="0" fontId="14" fillId="0" borderId="37" xfId="0" applyFont="1" applyFill="1" applyBorder="1" applyAlignment="1">
      <alignment horizontal="center" vertical="center"/>
    </xf>
    <xf numFmtId="4" fontId="16" fillId="0" borderId="37" xfId="0" applyNumberFormat="1" applyFont="1" applyFill="1" applyBorder="1" applyAlignment="1">
      <alignment horizontal="right" vertical="center"/>
    </xf>
    <xf numFmtId="0" fontId="14" fillId="0" borderId="37" xfId="0" applyFont="1" applyFill="1" applyBorder="1" applyAlignment="1">
      <alignment horizontal="left" vertical="center" wrapText="1"/>
    </xf>
    <xf numFmtId="0" fontId="17" fillId="0" borderId="37" xfId="0" applyFont="1" applyBorder="1" applyAlignment="1">
      <alignment horizontal="center" vertical="center"/>
    </xf>
    <xf numFmtId="0" fontId="14" fillId="0" borderId="38" xfId="0" applyFont="1" applyFill="1" applyBorder="1" applyAlignment="1">
      <alignment horizontal="left" vertical="center" wrapText="1"/>
    </xf>
    <xf numFmtId="4" fontId="16" fillId="0" borderId="38" xfId="0" applyNumberFormat="1" applyFont="1" applyFill="1" applyBorder="1" applyAlignment="1">
      <alignment horizontal="right" vertical="center"/>
    </xf>
    <xf numFmtId="0" fontId="14" fillId="0" borderId="37" xfId="0" applyFont="1" applyBorder="1" applyAlignment="1">
      <alignment horizontal="left" vertical="center"/>
    </xf>
    <xf numFmtId="0" fontId="14" fillId="0" borderId="8" xfId="0" applyFont="1" applyBorder="1" applyAlignment="1">
      <alignment vertical="center"/>
    </xf>
    <xf numFmtId="0" fontId="14" fillId="0" borderId="38" xfId="0" applyFont="1" applyFill="1" applyBorder="1" applyAlignment="1">
      <alignment horizontal="left" vertical="center"/>
    </xf>
    <xf numFmtId="0" fontId="18" fillId="0" borderId="8" xfId="0" applyFont="1" applyFill="1" applyBorder="1" applyAlignment="1">
      <alignment vertical="center" wrapText="1"/>
    </xf>
    <xf numFmtId="0" fontId="17" fillId="0" borderId="37" xfId="0" applyFont="1" applyBorder="1" applyAlignment="1">
      <alignment vertical="center"/>
    </xf>
    <xf numFmtId="0" fontId="17" fillId="0" borderId="37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8" xfId="0" applyFont="1" applyFill="1" applyBorder="1" applyAlignment="1">
      <alignment vertical="center"/>
    </xf>
    <xf numFmtId="0" fontId="14" fillId="0" borderId="38" xfId="0" applyFont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4" fontId="14" fillId="0" borderId="40" xfId="0" applyNumberFormat="1" applyFont="1" applyFill="1" applyBorder="1" applyAlignment="1">
      <alignment horizontal="right" vertical="center"/>
    </xf>
    <xf numFmtId="0" fontId="14" fillId="0" borderId="40" xfId="0" applyFont="1" applyFill="1" applyBorder="1" applyAlignment="1">
      <alignment horizontal="center" vertical="center"/>
    </xf>
    <xf numFmtId="10" fontId="21" fillId="0" borderId="16" xfId="0" applyNumberFormat="1" applyFont="1" applyFill="1" applyBorder="1" applyAlignment="1">
      <alignment horizontal="right" vertical="center"/>
    </xf>
    <xf numFmtId="4" fontId="21" fillId="0" borderId="25" xfId="0" applyNumberFormat="1" applyFont="1" applyBorder="1" applyAlignment="1">
      <alignment horizontal="right" vertical="center"/>
    </xf>
    <xf numFmtId="10" fontId="2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7" fillId="0" borderId="37" xfId="0" applyFont="1" applyBorder="1" applyAlignment="1">
      <alignment horizontal="left" vertical="center"/>
    </xf>
    <xf numFmtId="0" fontId="14" fillId="7" borderId="37" xfId="0" applyFont="1" applyFill="1" applyBorder="1" applyAlignment="1">
      <alignment vertical="center"/>
    </xf>
    <xf numFmtId="0" fontId="17" fillId="7" borderId="0" xfId="0" applyFont="1" applyFill="1" applyAlignment="1">
      <alignment vertical="center"/>
    </xf>
    <xf numFmtId="0" fontId="14" fillId="0" borderId="37" xfId="0" applyFont="1" applyFill="1" applyBorder="1" applyAlignment="1">
      <alignment vertical="center"/>
    </xf>
    <xf numFmtId="0" fontId="17" fillId="7" borderId="37" xfId="0" applyFont="1" applyFill="1" applyBorder="1" applyAlignment="1">
      <alignment vertical="center"/>
    </xf>
    <xf numFmtId="0" fontId="14" fillId="7" borderId="37" xfId="0" applyFont="1" applyFill="1" applyBorder="1" applyAlignment="1">
      <alignment horizontal="center" vertical="center"/>
    </xf>
    <xf numFmtId="2" fontId="14" fillId="0" borderId="37" xfId="0" applyNumberFormat="1" applyFont="1" applyBorder="1" applyAlignment="1">
      <alignment horizontal="right" vertical="center"/>
    </xf>
    <xf numFmtId="2" fontId="14" fillId="0" borderId="9" xfId="0" applyNumberFormat="1" applyFont="1" applyBorder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4" fillId="0" borderId="38" xfId="0" applyFont="1" applyFill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7" fillId="0" borderId="33" xfId="0" applyFont="1" applyBorder="1" applyAlignment="1">
      <alignment vertical="center"/>
    </xf>
    <xf numFmtId="0" fontId="14" fillId="0" borderId="38" xfId="0" applyFont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9" fillId="0" borderId="0" xfId="0" applyFont="1" applyAlignment="1">
      <alignment vertical="center"/>
    </xf>
    <xf numFmtId="0" fontId="20" fillId="0" borderId="0" xfId="1" applyNumberFormat="1" applyFont="1" applyFill="1" applyBorder="1" applyAlignment="1">
      <alignment vertical="center" wrapText="1"/>
    </xf>
    <xf numFmtId="0" fontId="18" fillId="0" borderId="34" xfId="0" applyFont="1" applyFill="1" applyBorder="1" applyAlignment="1">
      <alignment vertical="center" wrapText="1"/>
    </xf>
    <xf numFmtId="0" fontId="33" fillId="6" borderId="40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8" fillId="0" borderId="4" xfId="0" applyFont="1" applyFill="1" applyBorder="1" applyAlignment="1">
      <alignment vertical="center" wrapText="1"/>
    </xf>
    <xf numFmtId="0" fontId="18" fillId="0" borderId="37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33" fillId="0" borderId="37" xfId="0" applyFont="1" applyBorder="1" applyAlignment="1">
      <alignment vertical="center"/>
    </xf>
    <xf numFmtId="0" fontId="34" fillId="0" borderId="5" xfId="0" applyFont="1" applyFill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38" xfId="0" applyFont="1" applyFill="1" applyBorder="1" applyAlignment="1">
      <alignment vertical="center" wrapText="1"/>
    </xf>
    <xf numFmtId="0" fontId="33" fillId="0" borderId="36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14" fillId="0" borderId="13" xfId="0" applyFont="1" applyFill="1" applyBorder="1" applyAlignment="1">
      <alignment vertical="center"/>
    </xf>
    <xf numFmtId="0" fontId="6" fillId="0" borderId="33" xfId="0" applyFont="1" applyFill="1" applyBorder="1" applyAlignment="1">
      <alignment vertical="center"/>
    </xf>
    <xf numFmtId="1" fontId="14" fillId="0" borderId="0" xfId="0" applyNumberFormat="1" applyFont="1" applyFill="1" applyAlignment="1">
      <alignment vertical="center"/>
    </xf>
    <xf numFmtId="1" fontId="21" fillId="0" borderId="0" xfId="1" applyNumberFormat="1" applyFont="1" applyFill="1" applyBorder="1" applyAlignment="1">
      <alignment vertical="center" wrapText="1"/>
    </xf>
    <xf numFmtId="0" fontId="0" fillId="6" borderId="0" xfId="0" applyFill="1" applyAlignment="1">
      <alignment horizontal="right" vertical="center"/>
    </xf>
    <xf numFmtId="0" fontId="14" fillId="0" borderId="37" xfId="0" applyFont="1" applyBorder="1" applyAlignment="1">
      <alignment horizontal="right" vertical="center"/>
    </xf>
    <xf numFmtId="0" fontId="14" fillId="0" borderId="38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2" fontId="14" fillId="0" borderId="37" xfId="0" applyNumberFormat="1" applyFont="1" applyFill="1" applyBorder="1" applyAlignment="1">
      <alignment horizontal="right" vertical="center"/>
    </xf>
    <xf numFmtId="2" fontId="14" fillId="0" borderId="38" xfId="0" applyNumberFormat="1" applyFont="1" applyFill="1" applyBorder="1" applyAlignment="1">
      <alignment horizontal="right" vertical="center"/>
    </xf>
    <xf numFmtId="2" fontId="14" fillId="7" borderId="38" xfId="0" applyNumberFormat="1" applyFont="1" applyFill="1" applyBorder="1" applyAlignment="1">
      <alignment horizontal="right" vertical="center"/>
    </xf>
    <xf numFmtId="2" fontId="14" fillId="0" borderId="8" xfId="0" applyNumberFormat="1" applyFont="1" applyFill="1" applyBorder="1" applyAlignment="1">
      <alignment horizontal="right" vertical="center"/>
    </xf>
    <xf numFmtId="2" fontId="14" fillId="0" borderId="36" xfId="0" applyNumberFormat="1" applyFont="1" applyFill="1" applyBorder="1" applyAlignment="1">
      <alignment horizontal="right" vertical="center"/>
    </xf>
    <xf numFmtId="2" fontId="14" fillId="0" borderId="38" xfId="0" applyNumberFormat="1" applyFont="1" applyBorder="1" applyAlignment="1">
      <alignment horizontal="right" vertical="center"/>
    </xf>
    <xf numFmtId="164" fontId="16" fillId="0" borderId="1" xfId="0" applyNumberFormat="1" applyFont="1" applyFill="1" applyBorder="1" applyAlignment="1">
      <alignment vertical="center"/>
    </xf>
    <xf numFmtId="164" fontId="14" fillId="0" borderId="12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4" fontId="14" fillId="6" borderId="1" xfId="0" applyNumberFormat="1" applyFont="1" applyFill="1" applyBorder="1" applyAlignment="1">
      <alignment vertical="center"/>
    </xf>
    <xf numFmtId="4" fontId="14" fillId="0" borderId="5" xfId="0" applyNumberFormat="1" applyFont="1" applyFill="1" applyBorder="1" applyAlignment="1">
      <alignment vertical="center"/>
    </xf>
    <xf numFmtId="164" fontId="14" fillId="0" borderId="37" xfId="0" applyNumberFormat="1" applyFont="1" applyFill="1" applyBorder="1" applyAlignment="1">
      <alignment vertical="center"/>
    </xf>
    <xf numFmtId="164" fontId="14" fillId="0" borderId="38" xfId="0" applyNumberFormat="1" applyFont="1" applyFill="1" applyBorder="1" applyAlignment="1">
      <alignment vertical="center"/>
    </xf>
    <xf numFmtId="164" fontId="14" fillId="0" borderId="11" xfId="0" applyNumberFormat="1" applyFont="1" applyFill="1" applyBorder="1" applyAlignment="1">
      <alignment vertical="center"/>
    </xf>
    <xf numFmtId="164" fontId="14" fillId="0" borderId="8" xfId="0" applyNumberFormat="1" applyFont="1" applyFill="1" applyBorder="1" applyAlignment="1">
      <alignment vertical="center"/>
    </xf>
    <xf numFmtId="164" fontId="14" fillId="0" borderId="13" xfId="0" applyNumberFormat="1" applyFont="1" applyFill="1" applyBorder="1" applyAlignment="1">
      <alignment vertical="center"/>
    </xf>
    <xf numFmtId="164" fontId="18" fillId="0" borderId="12" xfId="0" applyNumberFormat="1" applyFont="1" applyFill="1" applyBorder="1" applyAlignment="1">
      <alignment vertical="center"/>
    </xf>
    <xf numFmtId="164" fontId="18" fillId="0" borderId="8" xfId="0" applyNumberFormat="1" applyFont="1" applyFill="1" applyBorder="1" applyAlignment="1">
      <alignment vertical="center"/>
    </xf>
    <xf numFmtId="164" fontId="18" fillId="0" borderId="37" xfId="0" applyNumberFormat="1" applyFont="1" applyFill="1" applyBorder="1" applyAlignment="1">
      <alignment vertical="center"/>
    </xf>
    <xf numFmtId="4" fontId="14" fillId="0" borderId="0" xfId="0" applyNumberFormat="1" applyFont="1" applyFill="1" applyAlignment="1">
      <alignment vertical="center"/>
    </xf>
    <xf numFmtId="4" fontId="21" fillId="0" borderId="24" xfId="0" applyNumberFormat="1" applyFont="1" applyBorder="1" applyAlignment="1" applyProtection="1">
      <alignment vertical="center"/>
    </xf>
    <xf numFmtId="4" fontId="21" fillId="0" borderId="17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>
      <alignment vertical="center"/>
    </xf>
    <xf numFmtId="4" fontId="24" fillId="0" borderId="29" xfId="0" applyNumberFormat="1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4" fontId="21" fillId="0" borderId="0" xfId="1" applyNumberFormat="1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/>
    </xf>
    <xf numFmtId="4" fontId="17" fillId="0" borderId="12" xfId="0" applyNumberFormat="1" applyFont="1" applyFill="1" applyBorder="1" applyAlignment="1">
      <alignment horizontal="right" vertical="center"/>
    </xf>
    <xf numFmtId="4" fontId="14" fillId="0" borderId="12" xfId="0" applyNumberFormat="1" applyFont="1" applyFill="1" applyBorder="1" applyAlignment="1">
      <alignment horizontal="right" vertical="center"/>
    </xf>
    <xf numFmtId="4" fontId="33" fillId="0" borderId="41" xfId="0" applyNumberFormat="1" applyFont="1" applyFill="1" applyBorder="1" applyAlignment="1">
      <alignment horizontal="right" vertical="center"/>
    </xf>
    <xf numFmtId="4" fontId="17" fillId="6" borderId="8" xfId="0" applyNumberFormat="1" applyFont="1" applyFill="1" applyBorder="1" applyAlignment="1">
      <alignment horizontal="right" vertical="center"/>
    </xf>
    <xf numFmtId="4" fontId="17" fillId="0" borderId="8" xfId="0" applyNumberFormat="1" applyFont="1" applyFill="1" applyBorder="1" applyAlignment="1">
      <alignment horizontal="right" vertical="center"/>
    </xf>
    <xf numFmtId="4" fontId="17" fillId="0" borderId="37" xfId="0" applyNumberFormat="1" applyFont="1" applyFill="1" applyBorder="1" applyAlignment="1">
      <alignment horizontal="right" vertical="center"/>
    </xf>
    <xf numFmtId="4" fontId="17" fillId="0" borderId="38" xfId="0" applyNumberFormat="1" applyFont="1" applyFill="1" applyBorder="1" applyAlignment="1">
      <alignment horizontal="right" vertical="center"/>
    </xf>
    <xf numFmtId="4" fontId="28" fillId="0" borderId="12" xfId="0" applyNumberFormat="1" applyFont="1" applyFill="1" applyBorder="1" applyAlignment="1">
      <alignment horizontal="right" vertical="center"/>
    </xf>
    <xf numFmtId="4" fontId="17" fillId="0" borderId="37" xfId="0" applyNumberFormat="1" applyFont="1" applyBorder="1" applyAlignment="1">
      <alignment horizontal="right" vertical="center"/>
    </xf>
    <xf numFmtId="4" fontId="17" fillId="0" borderId="38" xfId="0" applyNumberFormat="1" applyFont="1" applyBorder="1" applyAlignment="1">
      <alignment horizontal="right" vertical="center"/>
    </xf>
    <xf numFmtId="4" fontId="17" fillId="0" borderId="12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21" fillId="0" borderId="16" xfId="0" applyNumberFormat="1" applyFont="1" applyBorder="1" applyAlignment="1" applyProtection="1">
      <alignment horizontal="right" vertical="center"/>
    </xf>
    <xf numFmtId="4" fontId="0" fillId="0" borderId="0" xfId="0" applyNumberFormat="1" applyAlignment="1">
      <alignment horizontal="right" vertical="center"/>
    </xf>
    <xf numFmtId="0" fontId="21" fillId="0" borderId="0" xfId="0" applyFont="1" applyFill="1" applyAlignment="1">
      <alignment horizontal="left" vertical="center" wrapText="1"/>
    </xf>
    <xf numFmtId="0" fontId="14" fillId="0" borderId="0" xfId="1" applyNumberFormat="1" applyFont="1" applyFill="1" applyBorder="1" applyAlignment="1">
      <alignment horizontal="left" vertical="center" wrapText="1"/>
    </xf>
    <xf numFmtId="0" fontId="33" fillId="0" borderId="40" xfId="0" applyFont="1" applyFill="1" applyBorder="1" applyAlignment="1">
      <alignment horizontal="left" vertical="center" wrapText="1"/>
    </xf>
    <xf numFmtId="0" fontId="33" fillId="6" borderId="40" xfId="0" applyFont="1" applyFill="1" applyBorder="1" applyAlignment="1">
      <alignment horizontal="left" vertical="center" wrapText="1"/>
    </xf>
    <xf numFmtId="0" fontId="14" fillId="6" borderId="40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14" fillId="0" borderId="40" xfId="0" applyFont="1" applyFill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/>
    </xf>
    <xf numFmtId="0" fontId="17" fillId="0" borderId="33" xfId="0" applyFont="1" applyFill="1" applyBorder="1" applyAlignment="1">
      <alignment horizontal="left" vertical="center"/>
    </xf>
    <xf numFmtId="0" fontId="17" fillId="0" borderId="37" xfId="0" applyFont="1" applyFill="1" applyBorder="1" applyAlignment="1">
      <alignment horizontal="left" vertical="center"/>
    </xf>
    <xf numFmtId="0" fontId="17" fillId="0" borderId="38" xfId="0" applyFont="1" applyFill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2" xfId="0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18" fillId="6" borderId="16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36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right" vertical="center" wrapText="1"/>
    </xf>
    <xf numFmtId="4" fontId="18" fillId="4" borderId="1" xfId="0" applyNumberFormat="1" applyFont="1" applyFill="1" applyBorder="1" applyAlignment="1">
      <alignment horizontal="right" vertical="center" wrapText="1"/>
    </xf>
    <xf numFmtId="164" fontId="18" fillId="4" borderId="1" xfId="0" applyNumberFormat="1" applyFont="1" applyFill="1" applyBorder="1" applyAlignment="1">
      <alignment vertical="center" wrapText="1"/>
    </xf>
    <xf numFmtId="4" fontId="17" fillId="4" borderId="11" xfId="0" applyNumberFormat="1" applyFont="1" applyFill="1" applyBorder="1" applyAlignment="1">
      <alignment horizontal="right" vertical="center"/>
    </xf>
    <xf numFmtId="2" fontId="14" fillId="0" borderId="39" xfId="0" applyNumberFormat="1" applyFont="1" applyFill="1" applyBorder="1" applyAlignment="1">
      <alignment horizontal="right" vertical="center"/>
    </xf>
    <xf numFmtId="2" fontId="14" fillId="0" borderId="5" xfId="0" applyNumberFormat="1" applyFont="1" applyFill="1" applyBorder="1" applyAlignment="1">
      <alignment horizontal="right" vertical="center"/>
    </xf>
    <xf numFmtId="2" fontId="14" fillId="0" borderId="14" xfId="0" applyNumberFormat="1" applyFont="1" applyFill="1" applyBorder="1" applyAlignment="1">
      <alignment horizontal="right" vertical="center"/>
    </xf>
    <xf numFmtId="0" fontId="17" fillId="0" borderId="37" xfId="0" applyFont="1" applyBorder="1" applyAlignment="1">
      <alignment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6" xfId="0" applyFont="1" applyBorder="1" applyAlignment="1">
      <alignment vertical="center" wrapText="1"/>
    </xf>
    <xf numFmtId="0" fontId="17" fillId="0" borderId="36" xfId="0" applyFont="1" applyBorder="1" applyAlignment="1">
      <alignment horizontal="center" vertical="center" wrapText="1"/>
    </xf>
    <xf numFmtId="2" fontId="17" fillId="0" borderId="37" xfId="0" applyNumberFormat="1" applyFont="1" applyBorder="1" applyAlignment="1">
      <alignment horizontal="right" vertical="center"/>
    </xf>
    <xf numFmtId="2" fontId="17" fillId="0" borderId="37" xfId="0" applyNumberFormat="1" applyFont="1" applyFill="1" applyBorder="1" applyAlignment="1">
      <alignment horizontal="right" vertical="center"/>
    </xf>
    <xf numFmtId="2" fontId="17" fillId="0" borderId="38" xfId="0" applyNumberFormat="1" applyFont="1" applyFill="1" applyBorder="1" applyAlignment="1">
      <alignment horizontal="right" vertical="center"/>
    </xf>
    <xf numFmtId="4" fontId="14" fillId="0" borderId="37" xfId="0" applyNumberFormat="1" applyFont="1" applyBorder="1" applyAlignment="1">
      <alignment horizontal="right" vertical="center"/>
    </xf>
    <xf numFmtId="0" fontId="17" fillId="7" borderId="36" xfId="0" applyFont="1" applyFill="1" applyBorder="1" applyAlignment="1">
      <alignment vertical="center"/>
    </xf>
    <xf numFmtId="0" fontId="14" fillId="7" borderId="38" xfId="0" applyFont="1" applyFill="1" applyBorder="1" applyAlignment="1">
      <alignment horizontal="center" vertical="center"/>
    </xf>
    <xf numFmtId="164" fontId="14" fillId="0" borderId="36" xfId="0" applyNumberFormat="1" applyFont="1" applyFill="1" applyBorder="1" applyAlignment="1">
      <alignment vertical="center"/>
    </xf>
    <xf numFmtId="0" fontId="14" fillId="0" borderId="36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left" vertical="center"/>
    </xf>
    <xf numFmtId="0" fontId="14" fillId="0" borderId="38" xfId="0" applyFont="1" applyFill="1" applyBorder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14" fillId="0" borderId="40" xfId="0" applyFont="1" applyFill="1" applyBorder="1" applyAlignment="1">
      <alignment horizontal="left" vertical="center"/>
    </xf>
    <xf numFmtId="0" fontId="21" fillId="0" borderId="0" xfId="1" applyNumberFormat="1" applyFont="1" applyFill="1" applyBorder="1" applyAlignment="1">
      <alignment horizontal="right" vertical="center" wrapText="1"/>
    </xf>
    <xf numFmtId="0" fontId="21" fillId="0" borderId="0" xfId="0" applyFont="1" applyFill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35" fillId="6" borderId="0" xfId="0" applyFont="1" applyFill="1" applyAlignment="1">
      <alignment horizontal="right" vertical="center"/>
    </xf>
    <xf numFmtId="0" fontId="35" fillId="0" borderId="0" xfId="0" applyFont="1" applyAlignment="1">
      <alignment horizontal="right" vertical="center"/>
    </xf>
    <xf numFmtId="0" fontId="24" fillId="0" borderId="0" xfId="1" applyNumberFormat="1" applyFont="1" applyFill="1" applyBorder="1" applyAlignment="1">
      <alignment horizontal="center" vertical="center" wrapText="1"/>
    </xf>
    <xf numFmtId="0" fontId="24" fillId="0" borderId="0" xfId="1" applyNumberFormat="1" applyFont="1" applyFill="1" applyBorder="1" applyAlignment="1">
      <alignment vertical="center" wrapText="1"/>
    </xf>
    <xf numFmtId="1" fontId="24" fillId="0" borderId="0" xfId="1" applyNumberFormat="1" applyFont="1" applyFill="1" applyBorder="1" applyAlignment="1">
      <alignment horizontal="center" vertical="center"/>
    </xf>
    <xf numFmtId="2" fontId="21" fillId="0" borderId="0" xfId="1" applyNumberFormat="1" applyFont="1" applyFill="1" applyBorder="1" applyAlignment="1">
      <alignment horizontal="right" vertical="center" wrapText="1"/>
    </xf>
    <xf numFmtId="4" fontId="21" fillId="0" borderId="0" xfId="1" applyNumberFormat="1" applyFont="1" applyFill="1" applyBorder="1" applyAlignment="1">
      <alignment vertical="center" wrapText="1"/>
    </xf>
    <xf numFmtId="49" fontId="21" fillId="0" borderId="0" xfId="1" applyNumberFormat="1" applyFont="1" applyFill="1" applyBorder="1" applyAlignment="1">
      <alignment vertical="center"/>
    </xf>
    <xf numFmtId="0" fontId="24" fillId="0" borderId="0" xfId="0" applyFont="1" applyFill="1" applyAlignment="1">
      <alignment horizontal="right" vertical="center"/>
    </xf>
    <xf numFmtId="1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4" fontId="41" fillId="0" borderId="0" xfId="0" applyNumberFormat="1" applyFont="1" applyFill="1" applyAlignment="1">
      <alignment horizontal="right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0" xfId="0" applyFont="1" applyFill="1" applyAlignment="1">
      <alignment horizontal="right" vertical="center"/>
    </xf>
    <xf numFmtId="0" fontId="42" fillId="0" borderId="0" xfId="0" applyFont="1" applyFill="1" applyBorder="1" applyAlignment="1">
      <alignment horizontal="center" vertical="center"/>
    </xf>
    <xf numFmtId="10" fontId="41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horizontal="right" vertical="center"/>
    </xf>
    <xf numFmtId="0" fontId="42" fillId="0" borderId="0" xfId="0" applyFont="1" applyFill="1" applyBorder="1" applyAlignment="1">
      <alignment vertical="center"/>
    </xf>
    <xf numFmtId="0" fontId="41" fillId="0" borderId="0" xfId="0" applyFont="1" applyFill="1" applyAlignment="1">
      <alignment horizontal="center" vertical="center"/>
    </xf>
    <xf numFmtId="4" fontId="42" fillId="6" borderId="0" xfId="0" applyNumberFormat="1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right" vertical="center" wrapText="1"/>
    </xf>
    <xf numFmtId="0" fontId="41" fillId="0" borderId="0" xfId="0" applyFont="1" applyBorder="1" applyAlignment="1">
      <alignment horizontal="center" vertical="center" wrapText="1"/>
    </xf>
    <xf numFmtId="4" fontId="41" fillId="0" borderId="0" xfId="0" applyNumberFormat="1" applyFont="1" applyBorder="1" applyAlignment="1">
      <alignment vertical="center"/>
    </xf>
    <xf numFmtId="4" fontId="41" fillId="0" borderId="0" xfId="0" applyNumberFormat="1" applyFont="1" applyBorder="1" applyAlignment="1">
      <alignment horizontal="right" vertical="center"/>
    </xf>
    <xf numFmtId="0" fontId="41" fillId="0" borderId="0" xfId="0" applyFont="1" applyBorder="1" applyAlignment="1">
      <alignment horizontal="center" vertical="center"/>
    </xf>
    <xf numFmtId="4" fontId="41" fillId="6" borderId="0" xfId="0" applyNumberFormat="1" applyFont="1" applyFill="1" applyBorder="1" applyAlignment="1">
      <alignment horizontal="right" vertical="center"/>
    </xf>
    <xf numFmtId="0" fontId="41" fillId="0" borderId="0" xfId="0" applyFont="1" applyBorder="1" applyAlignment="1">
      <alignment horizontal="right" vertical="center"/>
    </xf>
    <xf numFmtId="0" fontId="39" fillId="0" borderId="0" xfId="0" applyFont="1" applyBorder="1" applyAlignment="1" applyProtection="1">
      <alignment horizontal="center" vertical="center"/>
    </xf>
    <xf numFmtId="10" fontId="39" fillId="0" borderId="0" xfId="0" applyNumberFormat="1" applyFont="1" applyFill="1" applyBorder="1" applyAlignment="1">
      <alignment vertical="center"/>
    </xf>
    <xf numFmtId="10" fontId="39" fillId="0" borderId="0" xfId="0" applyNumberFormat="1" applyFont="1" applyFill="1" applyBorder="1" applyAlignment="1">
      <alignment horizontal="right" vertical="center"/>
    </xf>
    <xf numFmtId="0" fontId="39" fillId="0" borderId="0" xfId="0" applyFont="1" applyBorder="1" applyAlignment="1">
      <alignment horizontal="center" vertical="center" wrapText="1"/>
    </xf>
    <xf numFmtId="10" fontId="39" fillId="0" borderId="0" xfId="0" applyNumberFormat="1" applyFont="1" applyBorder="1" applyAlignment="1">
      <alignment vertical="center"/>
    </xf>
    <xf numFmtId="4" fontId="39" fillId="0" borderId="0" xfId="0" applyNumberFormat="1" applyFont="1" applyBorder="1" applyAlignment="1">
      <alignment horizontal="right" vertical="center"/>
    </xf>
    <xf numFmtId="10" fontId="39" fillId="0" borderId="0" xfId="0" applyNumberFormat="1" applyFont="1" applyBorder="1" applyAlignment="1">
      <alignment horizontal="center" vertical="center"/>
    </xf>
    <xf numFmtId="4" fontId="39" fillId="6" borderId="0" xfId="0" applyNumberFormat="1" applyFont="1" applyFill="1" applyBorder="1" applyAlignment="1">
      <alignment horizontal="right" vertical="center"/>
    </xf>
    <xf numFmtId="4" fontId="18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center" vertical="center"/>
    </xf>
    <xf numFmtId="4" fontId="22" fillId="2" borderId="0" xfId="0" applyNumberFormat="1" applyFont="1" applyFill="1" applyBorder="1" applyAlignment="1">
      <alignment horizontal="center" vertical="center"/>
    </xf>
    <xf numFmtId="4" fontId="25" fillId="0" borderId="15" xfId="0" applyNumberFormat="1" applyFont="1" applyFill="1" applyBorder="1" applyAlignment="1">
      <alignment horizontal="right" vertical="center"/>
    </xf>
    <xf numFmtId="9" fontId="14" fillId="0" borderId="37" xfId="0" applyNumberFormat="1" applyFont="1" applyBorder="1" applyAlignment="1">
      <alignment horizontal="right" vertical="center"/>
    </xf>
    <xf numFmtId="0" fontId="39" fillId="0" borderId="0" xfId="0" applyFont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17" fillId="7" borderId="38" xfId="0" applyFont="1" applyFill="1" applyBorder="1" applyAlignment="1">
      <alignment vertical="center"/>
    </xf>
    <xf numFmtId="2" fontId="17" fillId="0" borderId="38" xfId="0" applyNumberFormat="1" applyFont="1" applyBorder="1" applyAlignment="1">
      <alignment horizontal="right" vertical="center"/>
    </xf>
    <xf numFmtId="0" fontId="17" fillId="0" borderId="8" xfId="0" applyFont="1" applyFill="1" applyBorder="1" applyAlignment="1">
      <alignment vertical="center"/>
    </xf>
    <xf numFmtId="2" fontId="17" fillId="0" borderId="8" xfId="0" applyNumberFormat="1" applyFont="1" applyBorder="1" applyAlignment="1">
      <alignment horizontal="right" vertical="center"/>
    </xf>
    <xf numFmtId="0" fontId="17" fillId="0" borderId="43" xfId="0" applyFont="1" applyFill="1" applyBorder="1" applyAlignment="1">
      <alignment horizontal="center" vertical="center"/>
    </xf>
    <xf numFmtId="4" fontId="17" fillId="0" borderId="44" xfId="0" applyNumberFormat="1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right" vertical="center"/>
    </xf>
    <xf numFmtId="0" fontId="42" fillId="0" borderId="0" xfId="0" applyFont="1" applyFill="1" applyBorder="1" applyAlignment="1">
      <alignment horizontal="center" vertical="center"/>
    </xf>
    <xf numFmtId="10" fontId="39" fillId="0" borderId="0" xfId="0" applyNumberFormat="1" applyFont="1" applyBorder="1" applyAlignment="1">
      <alignment horizontal="center" vertical="center"/>
    </xf>
    <xf numFmtId="4" fontId="39" fillId="0" borderId="0" xfId="0" applyNumberFormat="1" applyFont="1" applyBorder="1" applyAlignment="1">
      <alignment horizontal="right" vertical="center"/>
    </xf>
    <xf numFmtId="0" fontId="17" fillId="7" borderId="37" xfId="0" applyFont="1" applyFill="1" applyBorder="1"/>
    <xf numFmtId="4" fontId="28" fillId="0" borderId="44" xfId="0" applyNumberFormat="1" applyFont="1" applyFill="1" applyBorder="1" applyAlignment="1">
      <alignment horizontal="right" vertical="center"/>
    </xf>
    <xf numFmtId="0" fontId="17" fillId="4" borderId="13" xfId="0" applyFont="1" applyFill="1" applyBorder="1" applyAlignment="1">
      <alignment horizontal="center" vertical="center"/>
    </xf>
    <xf numFmtId="0" fontId="20" fillId="4" borderId="13" xfId="0" applyFont="1" applyFill="1" applyBorder="1" applyAlignment="1">
      <alignment horizontal="left" vertical="center" wrapText="1"/>
    </xf>
    <xf numFmtId="0" fontId="18" fillId="4" borderId="13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vertical="center"/>
    </xf>
    <xf numFmtId="4" fontId="16" fillId="4" borderId="13" xfId="0" applyNumberFormat="1" applyFont="1" applyFill="1" applyBorder="1" applyAlignment="1">
      <alignment horizontal="right" vertical="center"/>
    </xf>
    <xf numFmtId="164" fontId="14" fillId="4" borderId="13" xfId="0" applyNumberFormat="1" applyFont="1" applyFill="1" applyBorder="1" applyAlignment="1">
      <alignment vertical="center"/>
    </xf>
    <xf numFmtId="4" fontId="17" fillId="4" borderId="8" xfId="0" applyNumberFormat="1" applyFont="1" applyFill="1" applyBorder="1" applyAlignment="1">
      <alignment horizontal="right" vertical="center"/>
    </xf>
    <xf numFmtId="0" fontId="17" fillId="0" borderId="24" xfId="0" applyFont="1" applyBorder="1" applyAlignment="1">
      <alignment vertical="center"/>
    </xf>
    <xf numFmtId="0" fontId="16" fillId="0" borderId="33" xfId="0" applyFont="1" applyBorder="1" applyAlignment="1">
      <alignment horizontal="left" vertical="center"/>
    </xf>
    <xf numFmtId="0" fontId="16" fillId="0" borderId="33" xfId="0" applyFont="1" applyBorder="1" applyAlignment="1">
      <alignment vertical="center"/>
    </xf>
    <xf numFmtId="4" fontId="28" fillId="0" borderId="44" xfId="0" applyNumberFormat="1" applyFont="1" applyBorder="1" applyAlignment="1">
      <alignment horizontal="right" vertical="center"/>
    </xf>
    <xf numFmtId="0" fontId="12" fillId="0" borderId="6" xfId="0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0" fillId="0" borderId="0" xfId="0" applyFont="1" applyBorder="1" applyAlignment="1">
      <alignment horizontal="left"/>
    </xf>
    <xf numFmtId="2" fontId="8" fillId="0" borderId="2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right" vertical="center" wrapText="1"/>
    </xf>
    <xf numFmtId="0" fontId="40" fillId="0" borderId="33" xfId="0" applyFont="1" applyBorder="1" applyAlignment="1">
      <alignment horizontal="right" vertical="center"/>
    </xf>
    <xf numFmtId="0" fontId="40" fillId="0" borderId="42" xfId="0" applyFont="1" applyBorder="1" applyAlignment="1">
      <alignment horizontal="right" vertical="center"/>
    </xf>
    <xf numFmtId="0" fontId="28" fillId="0" borderId="34" xfId="0" applyFont="1" applyFill="1" applyBorder="1" applyAlignment="1">
      <alignment horizontal="right" vertical="center"/>
    </xf>
    <xf numFmtId="0" fontId="28" fillId="0" borderId="33" xfId="0" applyFont="1" applyBorder="1" applyAlignment="1">
      <alignment horizontal="right" vertical="center"/>
    </xf>
    <xf numFmtId="0" fontId="28" fillId="0" borderId="35" xfId="0" applyFont="1" applyBorder="1" applyAlignment="1">
      <alignment horizontal="right" vertical="center"/>
    </xf>
    <xf numFmtId="0" fontId="28" fillId="0" borderId="34" xfId="0" applyFont="1" applyBorder="1" applyAlignment="1">
      <alignment horizontal="right" vertical="center"/>
    </xf>
    <xf numFmtId="4" fontId="27" fillId="0" borderId="34" xfId="0" applyNumberFormat="1" applyFont="1" applyFill="1" applyBorder="1" applyAlignment="1">
      <alignment horizontal="right" vertical="center"/>
    </xf>
    <xf numFmtId="4" fontId="27" fillId="0" borderId="33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>
      <alignment horizontal="right" vertical="center" wrapText="1"/>
    </xf>
    <xf numFmtId="0" fontId="17" fillId="0" borderId="33" xfId="0" applyFont="1" applyBorder="1" applyAlignment="1">
      <alignment horizontal="right" vertical="center"/>
    </xf>
    <xf numFmtId="0" fontId="17" fillId="0" borderId="35" xfId="0" applyFont="1" applyBorder="1" applyAlignment="1">
      <alignment horizontal="right" vertical="center"/>
    </xf>
    <xf numFmtId="0" fontId="18" fillId="0" borderId="34" xfId="0" applyFont="1" applyFill="1" applyBorder="1" applyAlignment="1">
      <alignment horizontal="right" vertical="center"/>
    </xf>
    <xf numFmtId="0" fontId="28" fillId="0" borderId="33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 textRotation="90"/>
    </xf>
    <xf numFmtId="0" fontId="18" fillId="0" borderId="0" xfId="0" applyFont="1" applyAlignment="1">
      <alignment horizontal="center" vertical="center" textRotation="90"/>
    </xf>
    <xf numFmtId="4" fontId="21" fillId="0" borderId="0" xfId="1" applyNumberFormat="1" applyFont="1" applyFill="1" applyBorder="1" applyAlignment="1">
      <alignment horizontal="right" vertical="center" wrapText="1"/>
    </xf>
    <xf numFmtId="0" fontId="36" fillId="0" borderId="0" xfId="0" applyFont="1" applyAlignment="1">
      <alignment horizontal="right" vertical="center" wrapText="1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7" fillId="0" borderId="33" xfId="0" applyFont="1" applyBorder="1" applyAlignment="1">
      <alignment horizontal="right" vertical="center"/>
    </xf>
    <xf numFmtId="0" fontId="38" fillId="0" borderId="33" xfId="0" applyFont="1" applyBorder="1" applyAlignment="1">
      <alignment horizontal="right" vertical="center"/>
    </xf>
    <xf numFmtId="0" fontId="38" fillId="0" borderId="35" xfId="0" applyFont="1" applyBorder="1" applyAlignment="1">
      <alignment horizontal="right" vertical="center"/>
    </xf>
    <xf numFmtId="49" fontId="18" fillId="0" borderId="0" xfId="1" applyNumberFormat="1" applyFont="1" applyFill="1" applyBorder="1" applyAlignment="1">
      <alignment horizontal="center" vertical="center" textRotation="90"/>
    </xf>
    <xf numFmtId="0" fontId="14" fillId="0" borderId="0" xfId="0" applyFont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21" fillId="0" borderId="0" xfId="1" applyNumberFormat="1" applyFont="1" applyFill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/>
    </xf>
    <xf numFmtId="4" fontId="18" fillId="0" borderId="37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/>
    </xf>
    <xf numFmtId="4" fontId="14" fillId="0" borderId="37" xfId="0" applyNumberFormat="1" applyFont="1" applyBorder="1" applyAlignment="1">
      <alignment horizontal="right" vertical="center"/>
    </xf>
    <xf numFmtId="4" fontId="18" fillId="0" borderId="37" xfId="0" applyNumberFormat="1" applyFont="1" applyFill="1" applyBorder="1" applyAlignment="1">
      <alignment horizontal="right" vertical="center"/>
    </xf>
    <xf numFmtId="0" fontId="26" fillId="0" borderId="21" xfId="0" applyFont="1" applyBorder="1" applyAlignment="1">
      <alignment horizontal="left" vertical="center" wrapText="1"/>
    </xf>
    <xf numFmtId="0" fontId="26" fillId="0" borderId="22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14" fontId="39" fillId="0" borderId="0" xfId="0" applyNumberFormat="1" applyFont="1" applyFill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center" vertical="center" wrapText="1"/>
    </xf>
    <xf numFmtId="4" fontId="41" fillId="0" borderId="0" xfId="0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4" fontId="41" fillId="0" borderId="0" xfId="0" applyNumberFormat="1" applyFont="1" applyBorder="1" applyAlignment="1">
      <alignment horizontal="right" vertical="center"/>
    </xf>
    <xf numFmtId="0" fontId="41" fillId="0" borderId="0" xfId="0" applyFont="1" applyBorder="1" applyAlignment="1">
      <alignment horizontal="right" vertical="center"/>
    </xf>
    <xf numFmtId="10" fontId="39" fillId="0" borderId="0" xfId="0" applyNumberFormat="1" applyFont="1" applyBorder="1" applyAlignment="1">
      <alignment horizontal="center" vertical="center"/>
    </xf>
    <xf numFmtId="10" fontId="39" fillId="0" borderId="0" xfId="0" applyNumberFormat="1" applyFont="1" applyFill="1" applyBorder="1" applyAlignment="1">
      <alignment horizontal="right" vertical="center"/>
    </xf>
    <xf numFmtId="4" fontId="39" fillId="0" borderId="0" xfId="0" applyNumberFormat="1" applyFont="1" applyBorder="1" applyAlignment="1">
      <alignment horizontal="right" vertical="center"/>
    </xf>
    <xf numFmtId="4" fontId="21" fillId="5" borderId="24" xfId="0" applyNumberFormat="1" applyFont="1" applyFill="1" applyBorder="1" applyAlignment="1" applyProtection="1">
      <alignment horizontal="center" vertical="center"/>
    </xf>
    <xf numFmtId="0" fontId="24" fillId="5" borderId="25" xfId="0" applyFont="1" applyFill="1" applyBorder="1" applyAlignment="1">
      <alignment horizontal="center" vertical="center"/>
    </xf>
    <xf numFmtId="4" fontId="21" fillId="0" borderId="24" xfId="0" applyNumberFormat="1" applyFont="1" applyBorder="1" applyAlignment="1" applyProtection="1">
      <alignment horizontal="center" vertical="center"/>
    </xf>
    <xf numFmtId="4" fontId="21" fillId="0" borderId="25" xfId="0" applyNumberFormat="1" applyFont="1" applyBorder="1" applyAlignment="1" applyProtection="1">
      <alignment horizontal="center" vertical="center"/>
    </xf>
    <xf numFmtId="4" fontId="21" fillId="0" borderId="24" xfId="0" applyNumberFormat="1" applyFont="1" applyBorder="1" applyAlignment="1" applyProtection="1">
      <alignment horizontal="right" vertical="center"/>
    </xf>
    <xf numFmtId="4" fontId="21" fillId="0" borderId="25" xfId="0" applyNumberFormat="1" applyFont="1" applyBorder="1" applyAlignment="1" applyProtection="1">
      <alignment horizontal="right" vertical="center"/>
    </xf>
    <xf numFmtId="4" fontId="21" fillId="5" borderId="17" xfId="0" applyNumberFormat="1" applyFont="1" applyFill="1" applyBorder="1" applyAlignment="1" applyProtection="1">
      <alignment horizontal="center" vertical="center"/>
    </xf>
    <xf numFmtId="4" fontId="21" fillId="5" borderId="18" xfId="0" applyNumberFormat="1" applyFont="1" applyFill="1" applyBorder="1" applyAlignment="1" applyProtection="1">
      <alignment horizontal="center" vertical="center"/>
    </xf>
    <xf numFmtId="4" fontId="21" fillId="0" borderId="17" xfId="0" applyNumberFormat="1" applyFont="1" applyBorder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horizontal="center" vertical="center"/>
    </xf>
    <xf numFmtId="4" fontId="21" fillId="0" borderId="17" xfId="0" applyNumberFormat="1" applyFont="1" applyBorder="1" applyAlignment="1" applyProtection="1">
      <alignment horizontal="right" vertical="center"/>
    </xf>
    <xf numFmtId="4" fontId="21" fillId="0" borderId="18" xfId="0" applyNumberFormat="1" applyFont="1" applyBorder="1" applyAlignment="1" applyProtection="1">
      <alignment horizontal="right" vertical="center"/>
    </xf>
    <xf numFmtId="4" fontId="24" fillId="5" borderId="19" xfId="0" applyNumberFormat="1" applyFont="1" applyFill="1" applyBorder="1" applyAlignment="1">
      <alignment horizontal="center" vertical="center"/>
    </xf>
    <xf numFmtId="4" fontId="24" fillId="5" borderId="20" xfId="0" applyNumberFormat="1" applyFont="1" applyFill="1" applyBorder="1" applyAlignment="1">
      <alignment horizontal="center" vertical="center"/>
    </xf>
    <xf numFmtId="4" fontId="24" fillId="0" borderId="19" xfId="0" applyNumberFormat="1" applyFont="1" applyBorder="1" applyAlignment="1">
      <alignment horizontal="center" vertical="center"/>
    </xf>
    <xf numFmtId="4" fontId="24" fillId="0" borderId="20" xfId="0" applyNumberFormat="1" applyFont="1" applyBorder="1" applyAlignment="1">
      <alignment horizontal="center" vertical="center"/>
    </xf>
    <xf numFmtId="4" fontId="24" fillId="0" borderId="19" xfId="0" applyNumberFormat="1" applyFont="1" applyBorder="1" applyAlignment="1">
      <alignment horizontal="right" vertical="center"/>
    </xf>
    <xf numFmtId="4" fontId="24" fillId="0" borderId="20" xfId="0" applyNumberFormat="1" applyFont="1" applyBorder="1" applyAlignment="1">
      <alignment horizontal="right" vertical="center"/>
    </xf>
    <xf numFmtId="0" fontId="24" fillId="5" borderId="20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0" xfId="0" applyFont="1" applyBorder="1" applyAlignment="1">
      <alignment horizontal="right" vertical="center"/>
    </xf>
    <xf numFmtId="4" fontId="24" fillId="5" borderId="29" xfId="0" applyNumberFormat="1" applyFont="1" applyFill="1" applyBorder="1" applyAlignment="1">
      <alignment horizontal="center" vertical="center"/>
    </xf>
    <xf numFmtId="0" fontId="24" fillId="5" borderId="30" xfId="0" applyFont="1" applyFill="1" applyBorder="1" applyAlignment="1">
      <alignment horizontal="center" vertical="center"/>
    </xf>
    <xf numFmtId="4" fontId="24" fillId="0" borderId="29" xfId="0" applyNumberFormat="1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4" fontId="24" fillId="0" borderId="29" xfId="0" applyNumberFormat="1" applyFont="1" applyBorder="1" applyAlignment="1">
      <alignment horizontal="right" vertical="center"/>
    </xf>
    <xf numFmtId="0" fontId="24" fillId="0" borderId="30" xfId="0" applyFont="1" applyBorder="1" applyAlignment="1">
      <alignment horizontal="right" vertical="center"/>
    </xf>
    <xf numFmtId="10" fontId="21" fillId="5" borderId="16" xfId="0" applyNumberFormat="1" applyFont="1" applyFill="1" applyBorder="1" applyAlignment="1">
      <alignment horizontal="center" vertical="center"/>
    </xf>
    <xf numFmtId="10" fontId="21" fillId="0" borderId="16" xfId="0" applyNumberFormat="1" applyFont="1" applyBorder="1" applyAlignment="1">
      <alignment horizontal="center" vertical="center"/>
    </xf>
    <xf numFmtId="10" fontId="21" fillId="0" borderId="16" xfId="0" applyNumberFormat="1" applyFont="1" applyFill="1" applyBorder="1" applyAlignment="1">
      <alignment horizontal="right" vertical="center"/>
    </xf>
    <xf numFmtId="10" fontId="21" fillId="5" borderId="24" xfId="0" applyNumberFormat="1" applyFont="1" applyFill="1" applyBorder="1" applyAlignment="1">
      <alignment horizontal="center" vertical="center"/>
    </xf>
    <xf numFmtId="10" fontId="21" fillId="5" borderId="25" xfId="0" applyNumberFormat="1" applyFont="1" applyFill="1" applyBorder="1" applyAlignment="1">
      <alignment horizontal="center" vertical="center"/>
    </xf>
    <xf numFmtId="10" fontId="21" fillId="0" borderId="24" xfId="0" applyNumberFormat="1" applyFont="1" applyBorder="1" applyAlignment="1">
      <alignment horizontal="center" vertical="center"/>
    </xf>
    <xf numFmtId="10" fontId="21" fillId="0" borderId="25" xfId="0" applyNumberFormat="1" applyFont="1" applyBorder="1" applyAlignment="1">
      <alignment horizontal="center" vertical="center"/>
    </xf>
    <xf numFmtId="4" fontId="21" fillId="0" borderId="24" xfId="0" applyNumberFormat="1" applyFont="1" applyBorder="1" applyAlignment="1">
      <alignment horizontal="right" vertical="center"/>
    </xf>
    <xf numFmtId="4" fontId="21" fillId="0" borderId="25" xfId="0" applyNumberFormat="1" applyFont="1" applyBorder="1" applyAlignment="1">
      <alignment horizontal="right" vertical="center"/>
    </xf>
    <xf numFmtId="0" fontId="0" fillId="0" borderId="0" xfId="0" applyFont="1" applyBorder="1" applyAlignment="1" applyProtection="1">
      <alignment horizontal="center" vertical="center"/>
    </xf>
    <xf numFmtId="0" fontId="43" fillId="0" borderId="0" xfId="0" applyFont="1"/>
    <xf numFmtId="0" fontId="44" fillId="0" borderId="0" xfId="0" applyFont="1" applyBorder="1" applyAlignment="1">
      <alignment vertical="center" wrapText="1"/>
    </xf>
    <xf numFmtId="2" fontId="0" fillId="0" borderId="0" xfId="0" applyNumberFormat="1" applyFont="1" applyBorder="1" applyAlignment="1" applyProtection="1">
      <alignment horizontal="center"/>
    </xf>
    <xf numFmtId="0" fontId="45" fillId="0" borderId="0" xfId="0" applyFont="1" applyBorder="1" applyAlignment="1" applyProtection="1">
      <alignment horizontal="center" vertical="center"/>
    </xf>
    <xf numFmtId="0" fontId="46" fillId="0" borderId="0" xfId="0" applyFont="1" applyBorder="1" applyAlignment="1" applyProtection="1">
      <alignment horizontal="center"/>
    </xf>
    <xf numFmtId="0" fontId="32" fillId="0" borderId="0" xfId="0" applyFont="1" applyAlignment="1" applyProtection="1">
      <alignment horizontal="center"/>
    </xf>
    <xf numFmtId="0" fontId="32" fillId="0" borderId="0" xfId="0" applyFont="1" applyProtection="1"/>
    <xf numFmtId="0" fontId="43" fillId="0" borderId="0" xfId="0" applyFont="1" applyAlignment="1">
      <alignment horizontal="center" vertical="center" wrapText="1"/>
    </xf>
    <xf numFmtId="0" fontId="47" fillId="0" borderId="0" xfId="0" applyFont="1" applyAlignment="1">
      <alignment vertical="center"/>
    </xf>
    <xf numFmtId="0" fontId="35" fillId="0" borderId="0" xfId="0" applyFont="1" applyBorder="1" applyAlignment="1">
      <alignment vertical="center"/>
    </xf>
    <xf numFmtId="0" fontId="47" fillId="0" borderId="0" xfId="0" applyFont="1" applyAlignment="1">
      <alignment vertical="center" wrapText="1"/>
    </xf>
    <xf numFmtId="0" fontId="43" fillId="0" borderId="0" xfId="0" applyFont="1" applyAlignment="1">
      <alignment vertical="center" wrapText="1"/>
    </xf>
    <xf numFmtId="1" fontId="21" fillId="0" borderId="0" xfId="1" applyNumberFormat="1" applyFont="1" applyFill="1" applyBorder="1" applyAlignment="1">
      <alignment horizontal="center" vertical="center" wrapText="1"/>
    </xf>
    <xf numFmtId="0" fontId="21" fillId="0" borderId="0" xfId="1" applyNumberFormat="1" applyFont="1" applyFill="1" applyBorder="1" applyAlignment="1">
      <alignment horizontal="left" vertical="center" wrapText="1"/>
    </xf>
    <xf numFmtId="0" fontId="21" fillId="0" borderId="0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</cellXfs>
  <cellStyles count="3">
    <cellStyle name="Normal_NEOPRoMEL" xfId="1"/>
    <cellStyle name="Κανονικό" xfId="0" builtinId="0"/>
    <cellStyle name="Κανονικό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0"/>
          <a:ext cx="7334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0"/>
          <a:ext cx="7334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7"/>
  <sheetViews>
    <sheetView tabSelected="1" view="pageBreakPreview" zoomScale="55" zoomScaleNormal="70" zoomScaleSheetLayoutView="55" workbookViewId="0">
      <selection activeCell="A4" sqref="A4"/>
    </sheetView>
  </sheetViews>
  <sheetFormatPr defaultRowHeight="14.4" x14ac:dyDescent="0.3"/>
  <cols>
    <col min="1" max="1" width="4.88671875" customWidth="1"/>
    <col min="2" max="2" width="13.5546875" customWidth="1"/>
    <col min="3" max="3" width="68" customWidth="1"/>
    <col min="4" max="4" width="12.6640625" customWidth="1"/>
    <col min="5" max="5" width="10.5546875" customWidth="1"/>
    <col min="6" max="6" width="57.6640625" customWidth="1"/>
    <col min="7" max="8" width="10.44140625" customWidth="1"/>
    <col min="9" max="9" width="34.6640625" style="16" bestFit="1" customWidth="1"/>
  </cols>
  <sheetData>
    <row r="1" spans="1:16" s="610" customFormat="1" ht="39" customHeight="1" x14ac:dyDescent="0.3">
      <c r="A1" s="616" t="s">
        <v>710</v>
      </c>
      <c r="B1" s="422"/>
      <c r="C1" s="612"/>
      <c r="D1" s="613"/>
      <c r="E1" s="422" t="s">
        <v>704</v>
      </c>
      <c r="F1" s="614" t="s">
        <v>1040</v>
      </c>
      <c r="G1" s="614"/>
      <c r="H1" s="614"/>
      <c r="K1" s="611"/>
      <c r="L1" s="611"/>
      <c r="M1" s="611"/>
      <c r="N1" s="611"/>
      <c r="O1" s="611"/>
      <c r="P1" s="611"/>
    </row>
    <row r="2" spans="1:16" s="610" customFormat="1" ht="15" customHeight="1" x14ac:dyDescent="0.3">
      <c r="A2" s="616" t="s">
        <v>1278</v>
      </c>
      <c r="B2" s="422"/>
      <c r="C2" s="612"/>
      <c r="D2" s="613"/>
      <c r="E2" s="422" t="s">
        <v>1279</v>
      </c>
      <c r="F2" s="615" t="s">
        <v>1280</v>
      </c>
      <c r="G2" s="422"/>
      <c r="H2" s="422"/>
      <c r="I2" s="423"/>
      <c r="J2" s="611"/>
      <c r="K2" s="611"/>
      <c r="L2" s="611"/>
      <c r="M2" s="611"/>
      <c r="N2" s="611"/>
      <c r="O2" s="611"/>
      <c r="P2" s="611"/>
    </row>
    <row r="3" spans="1:16" s="610" customFormat="1" ht="15" customHeight="1" x14ac:dyDescent="0.3">
      <c r="A3" s="616" t="s">
        <v>712</v>
      </c>
      <c r="B3" s="422"/>
      <c r="C3" s="612"/>
      <c r="D3" s="613"/>
      <c r="E3" s="422"/>
      <c r="F3" s="615"/>
      <c r="G3" s="422"/>
      <c r="H3" s="422"/>
      <c r="I3" s="423"/>
      <c r="J3" s="611"/>
      <c r="K3" s="611"/>
      <c r="L3" s="611"/>
      <c r="M3" s="611"/>
      <c r="N3" s="611"/>
      <c r="O3" s="611"/>
      <c r="P3" s="611"/>
    </row>
    <row r="4" spans="1:16" s="610" customFormat="1" ht="15" customHeight="1" x14ac:dyDescent="0.3">
      <c r="A4" s="616"/>
      <c r="B4" s="422"/>
      <c r="C4" s="617" t="s">
        <v>1281</v>
      </c>
      <c r="D4" s="613"/>
      <c r="E4" s="422"/>
      <c r="F4" s="615"/>
      <c r="G4" s="422"/>
      <c r="H4" s="422"/>
      <c r="I4" s="423"/>
      <c r="J4" s="611"/>
      <c r="K4" s="611"/>
      <c r="L4" s="611"/>
      <c r="M4" s="611"/>
      <c r="N4" s="611"/>
      <c r="O4" s="611"/>
      <c r="P4" s="611"/>
    </row>
    <row r="5" spans="1:16" s="4" customFormat="1" ht="15" customHeight="1" x14ac:dyDescent="0.3">
      <c r="A5" s="496" t="s">
        <v>379</v>
      </c>
      <c r="B5" s="499" t="s">
        <v>0</v>
      </c>
      <c r="C5" s="501" t="s">
        <v>1</v>
      </c>
      <c r="D5" s="501" t="s">
        <v>2</v>
      </c>
      <c r="E5" s="501" t="s">
        <v>3</v>
      </c>
      <c r="F5" s="76"/>
      <c r="G5" s="498" t="s">
        <v>4</v>
      </c>
      <c r="H5" s="503" t="s">
        <v>1126</v>
      </c>
      <c r="I5" s="497"/>
      <c r="J5" s="27"/>
    </row>
    <row r="6" spans="1:16" s="4" customFormat="1" ht="19.5" customHeight="1" x14ac:dyDescent="0.3">
      <c r="A6" s="496"/>
      <c r="B6" s="500"/>
      <c r="C6" s="502"/>
      <c r="D6" s="502"/>
      <c r="E6" s="502"/>
      <c r="F6" s="77"/>
      <c r="G6" s="498"/>
      <c r="H6" s="502"/>
      <c r="I6" s="497"/>
      <c r="J6" s="27"/>
    </row>
    <row r="7" spans="1:16" s="4" customFormat="1" x14ac:dyDescent="0.3">
      <c r="A7" s="91"/>
      <c r="B7" s="52">
        <v>20</v>
      </c>
      <c r="C7" s="53" t="s">
        <v>5</v>
      </c>
      <c r="D7" s="54" t="s">
        <v>6</v>
      </c>
      <c r="E7" s="55" t="s">
        <v>6</v>
      </c>
      <c r="F7" s="92"/>
      <c r="G7" s="93"/>
      <c r="H7" s="232"/>
      <c r="I7" s="48"/>
      <c r="J7" s="27"/>
    </row>
    <row r="8" spans="1:16" s="4" customFormat="1" x14ac:dyDescent="0.3">
      <c r="A8" s="39">
        <v>1</v>
      </c>
      <c r="B8" s="2" t="s">
        <v>1107</v>
      </c>
      <c r="C8" s="3" t="s">
        <v>1002</v>
      </c>
      <c r="D8" s="1" t="s">
        <v>1003</v>
      </c>
      <c r="E8" s="1" t="s">
        <v>1004</v>
      </c>
      <c r="F8" s="81" t="s">
        <v>1112</v>
      </c>
      <c r="G8" s="40">
        <f>724.21335*5</f>
        <v>3621.06675</v>
      </c>
      <c r="H8" s="233">
        <f>ROUND(1.05*G8,-1)</f>
        <v>3800</v>
      </c>
      <c r="I8" s="49"/>
      <c r="J8" s="27"/>
    </row>
    <row r="9" spans="1:16" s="4" customFormat="1" x14ac:dyDescent="0.3">
      <c r="A9" s="39"/>
      <c r="B9" s="9" t="s">
        <v>7</v>
      </c>
      <c r="C9" s="6" t="s">
        <v>8</v>
      </c>
      <c r="D9" s="1" t="s">
        <v>6</v>
      </c>
      <c r="E9" s="1" t="s">
        <v>6</v>
      </c>
      <c r="F9" s="34"/>
      <c r="G9" s="78"/>
      <c r="H9" s="233"/>
      <c r="I9" s="19"/>
      <c r="J9" s="27"/>
    </row>
    <row r="10" spans="1:16" s="4" customFormat="1" x14ac:dyDescent="0.3">
      <c r="A10" s="39">
        <v>1</v>
      </c>
      <c r="B10" s="2" t="s">
        <v>9</v>
      </c>
      <c r="C10" s="3" t="s">
        <v>10</v>
      </c>
      <c r="D10" s="1" t="s">
        <v>11</v>
      </c>
      <c r="E10" s="1" t="s">
        <v>12</v>
      </c>
      <c r="F10" s="81" t="s">
        <v>1083</v>
      </c>
      <c r="G10" s="40">
        <f>(689.36-231.3-12.6*3-8.49*3.5)*0.4</f>
        <v>156.21800000000002</v>
      </c>
      <c r="H10" s="233">
        <f t="shared" ref="H10:H11" si="0">ROUND(1.05*G10,1)</f>
        <v>164</v>
      </c>
      <c r="I10" s="49"/>
      <c r="J10" s="27"/>
    </row>
    <row r="11" spans="1:16" s="4" customFormat="1" x14ac:dyDescent="0.3">
      <c r="A11" s="39">
        <v>2</v>
      </c>
      <c r="B11" s="2" t="s">
        <v>13</v>
      </c>
      <c r="C11" s="3" t="s">
        <v>14</v>
      </c>
      <c r="D11" s="1" t="s">
        <v>11</v>
      </c>
      <c r="E11" s="1" t="s">
        <v>12</v>
      </c>
      <c r="F11" s="81" t="s">
        <v>1082</v>
      </c>
      <c r="G11" s="40">
        <f>(689.36-231.3-12.6*3-8.49*3.5)*0.2</f>
        <v>78.109000000000009</v>
      </c>
      <c r="H11" s="233">
        <f t="shared" si="0"/>
        <v>82</v>
      </c>
      <c r="I11" s="49"/>
      <c r="J11" s="27"/>
    </row>
    <row r="12" spans="1:16" s="4" customFormat="1" ht="27.6" x14ac:dyDescent="0.3">
      <c r="A12" s="39"/>
      <c r="B12" s="9" t="s">
        <v>1088</v>
      </c>
      <c r="C12" s="6" t="s">
        <v>1089</v>
      </c>
      <c r="D12" s="1"/>
      <c r="E12" s="1" t="s">
        <v>6</v>
      </c>
      <c r="F12" s="41"/>
      <c r="G12" s="78"/>
      <c r="H12" s="233"/>
      <c r="I12" s="49"/>
      <c r="J12" s="27"/>
    </row>
    <row r="13" spans="1:16" s="4" customFormat="1" ht="39.75" customHeight="1" x14ac:dyDescent="0.3">
      <c r="A13" s="39">
        <v>3</v>
      </c>
      <c r="B13" s="2" t="s">
        <v>1006</v>
      </c>
      <c r="C13" s="3" t="s">
        <v>15</v>
      </c>
      <c r="D13" s="1" t="s">
        <v>20</v>
      </c>
      <c r="E13" s="1" t="s">
        <v>16</v>
      </c>
      <c r="F13" s="82" t="s">
        <v>1086</v>
      </c>
      <c r="G13" s="40">
        <f>0.3*(5.08*3.48+3.12*11.2+4.97*3.55+2.88*5.02+3.36*5.03+4.79*7.03)*0.6</f>
        <v>24.353639999999999</v>
      </c>
      <c r="H13" s="233">
        <f>ROUND(1.05*G13,1)</f>
        <v>25.6</v>
      </c>
      <c r="I13" s="49"/>
      <c r="J13" s="27"/>
    </row>
    <row r="14" spans="1:16" s="4" customFormat="1" ht="42" customHeight="1" x14ac:dyDescent="0.3">
      <c r="A14" s="39">
        <v>4</v>
      </c>
      <c r="B14" s="2" t="s">
        <v>1009</v>
      </c>
      <c r="C14" s="3" t="s">
        <v>22</v>
      </c>
      <c r="D14" s="1" t="s">
        <v>23</v>
      </c>
      <c r="E14" s="1" t="s">
        <v>16</v>
      </c>
      <c r="F14" s="82" t="s">
        <v>1087</v>
      </c>
      <c r="G14" s="40">
        <f>0.7*(5.08*3.48+3.12*11.2+4.97*3.55+2.88*5.02+3.36*5.03+4.79*7.03)*0.6</f>
        <v>56.82515999999999</v>
      </c>
      <c r="H14" s="233">
        <f t="shared" ref="H14:H20" si="1">ROUND(1.05*G14,1)</f>
        <v>59.7</v>
      </c>
      <c r="I14" s="49"/>
      <c r="J14" s="27"/>
    </row>
    <row r="15" spans="1:16" s="4" customFormat="1" ht="27.6" x14ac:dyDescent="0.3">
      <c r="A15" s="39"/>
      <c r="B15" s="9" t="s">
        <v>17</v>
      </c>
      <c r="C15" s="6" t="s">
        <v>1113</v>
      </c>
      <c r="D15" s="1"/>
      <c r="E15" s="1" t="s">
        <v>6</v>
      </c>
      <c r="F15" s="41"/>
      <c r="G15" s="78"/>
      <c r="H15" s="233"/>
      <c r="I15" s="49"/>
      <c r="J15" s="27"/>
    </row>
    <row r="16" spans="1:16" s="229" customFormat="1" ht="39.75" customHeight="1" x14ac:dyDescent="0.3">
      <c r="A16" s="221">
        <v>3</v>
      </c>
      <c r="B16" s="222" t="s">
        <v>19</v>
      </c>
      <c r="C16" s="223" t="s">
        <v>15</v>
      </c>
      <c r="D16" s="224" t="s">
        <v>20</v>
      </c>
      <c r="E16" s="224" t="s">
        <v>16</v>
      </c>
      <c r="F16" s="237" t="s">
        <v>1090</v>
      </c>
      <c r="G16" s="238">
        <f>0.3*(689.36-231.3-12.6*3-8.49*3.5)*0.6</f>
        <v>70.298099999999991</v>
      </c>
      <c r="H16" s="236">
        <f>ROUND(1.05*G16,0)</f>
        <v>74</v>
      </c>
      <c r="I16" s="227" t="s">
        <v>1092</v>
      </c>
      <c r="J16" s="228"/>
    </row>
    <row r="17" spans="1:12" s="229" customFormat="1" ht="42" customHeight="1" x14ac:dyDescent="0.3">
      <c r="A17" s="221">
        <v>4</v>
      </c>
      <c r="B17" s="222" t="s">
        <v>21</v>
      </c>
      <c r="C17" s="223" t="s">
        <v>22</v>
      </c>
      <c r="D17" s="224" t="s">
        <v>23</v>
      </c>
      <c r="E17" s="224" t="s">
        <v>16</v>
      </c>
      <c r="F17" s="237" t="s">
        <v>1091</v>
      </c>
      <c r="G17" s="238">
        <f>0.7*(689.36-231.3-12.6*3-8.49*3.5)*0.6</f>
        <v>164.02889999999999</v>
      </c>
      <c r="H17" s="236">
        <f>ROUND(1.05*G17,0)</f>
        <v>172</v>
      </c>
      <c r="I17" s="227" t="s">
        <v>1092</v>
      </c>
      <c r="J17" s="228"/>
    </row>
    <row r="18" spans="1:12" s="4" customFormat="1" ht="71.25" customHeight="1" x14ac:dyDescent="0.3">
      <c r="A18" s="39">
        <v>6</v>
      </c>
      <c r="B18" s="2" t="s">
        <v>29</v>
      </c>
      <c r="C18" s="3" t="s">
        <v>30</v>
      </c>
      <c r="D18" s="1" t="s">
        <v>31</v>
      </c>
      <c r="E18" s="1" t="s">
        <v>16</v>
      </c>
      <c r="F18" s="82" t="s">
        <v>1084</v>
      </c>
      <c r="G18" s="41">
        <f>(7.31+1)*1.3*1.5+(7.67+1)*1.3*1.5+(17.49+1)*1.3*1.5+((5.08+0.2)+(3.12+0.2)+(5.48+0.2)+2*(5.04+0.2)+2*(4.97+0.2)+(3.48+0.2)+(2.88+0.2)+(3.48+0.2)+(1.76+0.2)+(5.13+0.2)+(5.17+0.2)+(3.47+0.2)+(1.8+0.2)+(3.64+0.2)+(1.8+0.2))*1.3*1.5</f>
        <v>205.101</v>
      </c>
      <c r="H18" s="233">
        <f t="shared" ref="H18" si="2">ROUND(1.05*G18,0)</f>
        <v>215</v>
      </c>
      <c r="I18" s="49"/>
      <c r="J18" s="27"/>
    </row>
    <row r="19" spans="1:12" s="4" customFormat="1" x14ac:dyDescent="0.3">
      <c r="A19" s="39">
        <v>7</v>
      </c>
      <c r="B19" s="2" t="s">
        <v>34</v>
      </c>
      <c r="C19" s="3" t="s">
        <v>725</v>
      </c>
      <c r="D19" s="1" t="s">
        <v>36</v>
      </c>
      <c r="E19" s="1" t="s">
        <v>16</v>
      </c>
      <c r="F19" s="83" t="s">
        <v>380</v>
      </c>
      <c r="G19" s="42">
        <f>1.6*1.75*1.2</f>
        <v>3.3600000000000003</v>
      </c>
      <c r="H19" s="233">
        <f>ROUND(1.05*G19,1)</f>
        <v>3.5</v>
      </c>
      <c r="I19" s="49"/>
      <c r="J19" s="27"/>
    </row>
    <row r="20" spans="1:12" s="229" customFormat="1" ht="27.6" x14ac:dyDescent="0.3">
      <c r="A20" s="221">
        <v>8</v>
      </c>
      <c r="B20" s="222" t="s">
        <v>374</v>
      </c>
      <c r="C20" s="223" t="s">
        <v>375</v>
      </c>
      <c r="D20" s="224" t="s">
        <v>376</v>
      </c>
      <c r="E20" s="224" t="s">
        <v>16</v>
      </c>
      <c r="F20" s="237" t="s">
        <v>1127</v>
      </c>
      <c r="G20" s="238">
        <f>(5.08*3.48+3.12*11.2+4.97*3.55+2.88*5.02+3.36*5.03+4.79*7.03)*0.3+180*0.2</f>
        <v>76.589399999999998</v>
      </c>
      <c r="H20" s="236">
        <f t="shared" si="1"/>
        <v>80.400000000000006</v>
      </c>
      <c r="I20" s="227"/>
      <c r="J20" s="228"/>
    </row>
    <row r="21" spans="1:12" s="4" customFormat="1" ht="27.6" x14ac:dyDescent="0.3">
      <c r="A21" s="39">
        <v>9</v>
      </c>
      <c r="B21" s="2" t="s">
        <v>37</v>
      </c>
      <c r="C21" s="3" t="s">
        <v>1085</v>
      </c>
      <c r="D21" s="1" t="s">
        <v>39</v>
      </c>
      <c r="E21" s="1" t="s">
        <v>16</v>
      </c>
      <c r="F21" s="83" t="s">
        <v>1110</v>
      </c>
      <c r="G21" s="42">
        <f>(156.22+78.11)*0.25+205.101+24.35+56.83</f>
        <v>344.86349999999999</v>
      </c>
      <c r="H21" s="233">
        <f>ROUND(1.05*G21,0)</f>
        <v>362</v>
      </c>
      <c r="I21" s="49"/>
      <c r="J21" s="27"/>
      <c r="L21" s="4" t="s">
        <v>432</v>
      </c>
    </row>
    <row r="22" spans="1:12" s="4" customFormat="1" x14ac:dyDescent="0.3">
      <c r="A22" s="39">
        <v>10</v>
      </c>
      <c r="B22" s="2" t="s">
        <v>40</v>
      </c>
      <c r="C22" s="3" t="s">
        <v>41</v>
      </c>
      <c r="D22" s="1" t="s">
        <v>42</v>
      </c>
      <c r="E22" s="1" t="s">
        <v>43</v>
      </c>
      <c r="F22" s="83" t="s">
        <v>1111</v>
      </c>
      <c r="G22" s="42">
        <f>2.1*G21</f>
        <v>724.21334999999999</v>
      </c>
      <c r="H22" s="233">
        <f>ROUND(1.05*G22,0)</f>
        <v>760</v>
      </c>
      <c r="I22" s="49"/>
      <c r="J22" s="27"/>
    </row>
    <row r="23" spans="1:12" s="4" customFormat="1" x14ac:dyDescent="0.3">
      <c r="A23" s="91"/>
      <c r="B23" s="52">
        <v>21</v>
      </c>
      <c r="C23" s="53" t="s">
        <v>44</v>
      </c>
      <c r="D23" s="94"/>
      <c r="E23" s="94"/>
      <c r="F23" s="93"/>
      <c r="G23" s="93"/>
      <c r="H23" s="232"/>
      <c r="I23" s="49"/>
      <c r="J23" s="27"/>
    </row>
    <row r="24" spans="1:12" s="4" customFormat="1" x14ac:dyDescent="0.3">
      <c r="A24" s="39"/>
      <c r="B24" s="9" t="s">
        <v>45</v>
      </c>
      <c r="C24" s="6" t="s">
        <v>46</v>
      </c>
      <c r="D24" s="79"/>
      <c r="E24" s="79"/>
      <c r="F24" s="78"/>
      <c r="G24" s="78"/>
      <c r="H24" s="234"/>
      <c r="I24" s="49"/>
      <c r="J24" s="27"/>
    </row>
    <row r="25" spans="1:12" s="4" customFormat="1" x14ac:dyDescent="0.3">
      <c r="A25" s="39">
        <v>11</v>
      </c>
      <c r="B25" s="2" t="s">
        <v>47</v>
      </c>
      <c r="C25" s="3" t="s">
        <v>48</v>
      </c>
      <c r="D25" s="1" t="s">
        <v>49</v>
      </c>
      <c r="E25" s="1" t="s">
        <v>50</v>
      </c>
      <c r="F25" s="83" t="s">
        <v>442</v>
      </c>
      <c r="G25" s="40">
        <f>130*8</f>
        <v>1040</v>
      </c>
      <c r="H25" s="233">
        <f>G25</f>
        <v>1040</v>
      </c>
      <c r="I25" s="49"/>
      <c r="J25" s="27"/>
    </row>
    <row r="26" spans="1:12" s="4" customFormat="1" ht="27.6" x14ac:dyDescent="0.3">
      <c r="A26" s="39"/>
      <c r="B26" s="9" t="s">
        <v>51</v>
      </c>
      <c r="C26" s="6" t="s">
        <v>52</v>
      </c>
      <c r="D26" s="79"/>
      <c r="E26" s="79"/>
      <c r="F26" s="78"/>
      <c r="G26" s="78"/>
      <c r="H26" s="234"/>
      <c r="I26" s="49"/>
      <c r="J26" s="27"/>
    </row>
    <row r="27" spans="1:12" s="4" customFormat="1" x14ac:dyDescent="0.3">
      <c r="A27" s="39">
        <v>12</v>
      </c>
      <c r="B27" s="2" t="s">
        <v>53</v>
      </c>
      <c r="C27" s="3" t="s">
        <v>54</v>
      </c>
      <c r="D27" s="1" t="s">
        <v>55</v>
      </c>
      <c r="E27" s="1" t="s">
        <v>56</v>
      </c>
      <c r="F27" s="36" t="s">
        <v>381</v>
      </c>
      <c r="G27" s="40">
        <f>15.88+12.89+12.56+15.77</f>
        <v>57.100000000000009</v>
      </c>
      <c r="H27" s="233">
        <f t="shared" ref="H27:H38" si="3">ROUND(1.05*G27,1)</f>
        <v>60</v>
      </c>
      <c r="I27" s="49"/>
      <c r="J27" s="27"/>
    </row>
    <row r="28" spans="1:12" s="4" customFormat="1" x14ac:dyDescent="0.3">
      <c r="A28" s="91"/>
      <c r="B28" s="52">
        <v>22</v>
      </c>
      <c r="C28" s="53" t="s">
        <v>57</v>
      </c>
      <c r="D28" s="54" t="s">
        <v>6</v>
      </c>
      <c r="E28" s="54" t="s">
        <v>6</v>
      </c>
      <c r="F28" s="95"/>
      <c r="G28" s="93"/>
      <c r="H28" s="233"/>
      <c r="I28" s="49"/>
      <c r="J28" s="27"/>
    </row>
    <row r="29" spans="1:12" s="229" customFormat="1" ht="27.6" x14ac:dyDescent="0.3">
      <c r="A29" s="221">
        <v>13</v>
      </c>
      <c r="B29" s="222" t="s">
        <v>58</v>
      </c>
      <c r="C29" s="223" t="s">
        <v>59</v>
      </c>
      <c r="D29" s="224" t="s">
        <v>60</v>
      </c>
      <c r="E29" s="224" t="s">
        <v>16</v>
      </c>
      <c r="F29" s="239" t="s">
        <v>382</v>
      </c>
      <c r="G29" s="238">
        <v>5.0199999999999996</v>
      </c>
      <c r="H29" s="236">
        <f t="shared" si="3"/>
        <v>5.3</v>
      </c>
      <c r="I29" s="227"/>
      <c r="J29" s="228"/>
    </row>
    <row r="30" spans="1:12" s="229" customFormat="1" x14ac:dyDescent="0.3">
      <c r="A30" s="221">
        <v>14</v>
      </c>
      <c r="B30" s="222" t="s">
        <v>61</v>
      </c>
      <c r="C30" s="223" t="s">
        <v>62</v>
      </c>
      <c r="D30" s="224" t="s">
        <v>63</v>
      </c>
      <c r="E30" s="224" t="s">
        <v>16</v>
      </c>
      <c r="F30" s="240" t="s">
        <v>383</v>
      </c>
      <c r="G30" s="238">
        <f>0.3*54.724</f>
        <v>16.417199999999998</v>
      </c>
      <c r="H30" s="236">
        <f t="shared" si="3"/>
        <v>17.2</v>
      </c>
      <c r="I30" s="227"/>
      <c r="J30" s="228"/>
    </row>
    <row r="31" spans="1:12" s="4" customFormat="1" x14ac:dyDescent="0.3">
      <c r="A31" s="39">
        <v>15</v>
      </c>
      <c r="B31" s="2" t="s">
        <v>64</v>
      </c>
      <c r="C31" s="3" t="s">
        <v>65</v>
      </c>
      <c r="D31" s="1" t="s">
        <v>66</v>
      </c>
      <c r="E31" s="1" t="s">
        <v>16</v>
      </c>
      <c r="F31" s="36" t="s">
        <v>384</v>
      </c>
      <c r="G31" s="40">
        <f>(0.15*3.45+0.15*6.15+0.15*5.15+0.15*2.25+0.15*2.6)*3.45</f>
        <v>10.143000000000001</v>
      </c>
      <c r="H31" s="233">
        <f t="shared" si="3"/>
        <v>10.7</v>
      </c>
      <c r="I31" s="49"/>
      <c r="J31" s="27"/>
    </row>
    <row r="32" spans="1:12" s="8" customFormat="1" ht="27.6" x14ac:dyDescent="0.3">
      <c r="A32" s="39">
        <v>16</v>
      </c>
      <c r="B32" s="2" t="s">
        <v>67</v>
      </c>
      <c r="C32" s="3" t="s">
        <v>68</v>
      </c>
      <c r="D32" s="1" t="s">
        <v>66</v>
      </c>
      <c r="E32" s="1" t="s">
        <v>69</v>
      </c>
      <c r="F32" s="35" t="s">
        <v>385</v>
      </c>
      <c r="G32" s="42">
        <v>9.2200000000000006</v>
      </c>
      <c r="H32" s="233">
        <f>ROUND(1.02*G32,1)</f>
        <v>9.4</v>
      </c>
      <c r="I32" s="49"/>
      <c r="J32" s="28"/>
    </row>
    <row r="33" spans="1:10" s="4" customFormat="1" ht="27.6" x14ac:dyDescent="0.3">
      <c r="A33" s="39">
        <v>17</v>
      </c>
      <c r="B33" s="2" t="s">
        <v>70</v>
      </c>
      <c r="C33" s="3" t="s">
        <v>1117</v>
      </c>
      <c r="D33" s="1" t="s">
        <v>72</v>
      </c>
      <c r="E33" s="1" t="s">
        <v>16</v>
      </c>
      <c r="F33" s="36" t="s">
        <v>386</v>
      </c>
      <c r="G33" s="40">
        <f>0.3*0.9*0.16*5+0.3*0.9*0.17*3+0.9*0.3*0.17*7</f>
        <v>0.67500000000000004</v>
      </c>
      <c r="H33" s="233">
        <f t="shared" si="3"/>
        <v>0.7</v>
      </c>
      <c r="I33" s="49"/>
      <c r="J33" s="27"/>
    </row>
    <row r="34" spans="1:10" s="4" customFormat="1" ht="27.6" x14ac:dyDescent="0.3">
      <c r="A34" s="39">
        <v>18</v>
      </c>
      <c r="B34" s="2" t="s">
        <v>75</v>
      </c>
      <c r="C34" s="3" t="s">
        <v>1118</v>
      </c>
      <c r="D34" s="1" t="s">
        <v>72</v>
      </c>
      <c r="E34" s="1" t="s">
        <v>16</v>
      </c>
      <c r="F34" s="36" t="s">
        <v>389</v>
      </c>
      <c r="G34" s="40">
        <f>0.3*0.3*5+0.3*0.3*3.85</f>
        <v>0.79649999999999999</v>
      </c>
      <c r="H34" s="233">
        <f t="shared" si="3"/>
        <v>0.8</v>
      </c>
      <c r="I34" s="49"/>
      <c r="J34" s="27"/>
    </row>
    <row r="35" spans="1:10" s="4" customFormat="1" ht="27.6" x14ac:dyDescent="0.3">
      <c r="A35" s="39">
        <v>19</v>
      </c>
      <c r="B35" s="2" t="s">
        <v>1115</v>
      </c>
      <c r="C35" s="3" t="s">
        <v>1116</v>
      </c>
      <c r="D35" s="1" t="s">
        <v>72</v>
      </c>
      <c r="E35" s="1" t="s">
        <v>78</v>
      </c>
      <c r="F35" s="36" t="s">
        <v>1114</v>
      </c>
      <c r="G35" s="40">
        <f>(2.2+3.64)*16</f>
        <v>93.44</v>
      </c>
      <c r="H35" s="233">
        <f t="shared" si="3"/>
        <v>98.1</v>
      </c>
      <c r="I35" s="49"/>
      <c r="J35" s="27"/>
    </row>
    <row r="36" spans="1:10" s="4" customFormat="1" ht="27.6" x14ac:dyDescent="0.3">
      <c r="A36" s="39">
        <v>20</v>
      </c>
      <c r="B36" s="2" t="s">
        <v>81</v>
      </c>
      <c r="C36" s="3" t="s">
        <v>1119</v>
      </c>
      <c r="D36" s="1" t="s">
        <v>83</v>
      </c>
      <c r="E36" s="1" t="s">
        <v>12</v>
      </c>
      <c r="F36" s="36" t="s">
        <v>390</v>
      </c>
      <c r="G36" s="84">
        <f>4.01*2.08+2.2*1.77+1*3.64</f>
        <v>15.8748</v>
      </c>
      <c r="H36" s="233">
        <f t="shared" si="3"/>
        <v>16.7</v>
      </c>
      <c r="I36" s="49"/>
      <c r="J36" s="27"/>
    </row>
    <row r="37" spans="1:10" s="4" customFormat="1" ht="27.6" x14ac:dyDescent="0.3">
      <c r="A37" s="39">
        <v>21</v>
      </c>
      <c r="B37" s="2" t="s">
        <v>86</v>
      </c>
      <c r="C37" s="3" t="s">
        <v>1120</v>
      </c>
      <c r="D37" s="1" t="s">
        <v>87</v>
      </c>
      <c r="E37" s="1" t="s">
        <v>12</v>
      </c>
      <c r="F37" s="36" t="s">
        <v>391</v>
      </c>
      <c r="G37" s="42">
        <f>(0.75+1.25)*1</f>
        <v>2</v>
      </c>
      <c r="H37" s="233">
        <f t="shared" si="3"/>
        <v>2.1</v>
      </c>
      <c r="I37" s="49"/>
      <c r="J37" s="27"/>
    </row>
    <row r="38" spans="1:10" s="4" customFormat="1" ht="27.6" x14ac:dyDescent="0.3">
      <c r="A38" s="39">
        <v>22</v>
      </c>
      <c r="B38" s="2" t="s">
        <v>88</v>
      </c>
      <c r="C38" s="5" t="s">
        <v>1121</v>
      </c>
      <c r="D38" s="1" t="s">
        <v>90</v>
      </c>
      <c r="E38" s="1" t="s">
        <v>12</v>
      </c>
      <c r="F38" s="37" t="s">
        <v>392</v>
      </c>
      <c r="G38" s="41">
        <f>6.75*9.8</f>
        <v>66.150000000000006</v>
      </c>
      <c r="H38" s="233">
        <f t="shared" si="3"/>
        <v>69.5</v>
      </c>
      <c r="I38" s="49"/>
      <c r="J38" s="27"/>
    </row>
    <row r="39" spans="1:10" s="4" customFormat="1" ht="55.2" x14ac:dyDescent="0.3">
      <c r="A39" s="39">
        <v>23</v>
      </c>
      <c r="B39" s="2" t="s">
        <v>91</v>
      </c>
      <c r="C39" s="3" t="s">
        <v>92</v>
      </c>
      <c r="D39" s="1" t="s">
        <v>93</v>
      </c>
      <c r="E39" s="1" t="s">
        <v>12</v>
      </c>
      <c r="F39" s="37" t="s">
        <v>393</v>
      </c>
      <c r="G39" s="41">
        <v>1175.96</v>
      </c>
      <c r="H39" s="233">
        <f>ROUND(1.05*G39,0)</f>
        <v>1235</v>
      </c>
      <c r="I39" s="49"/>
      <c r="J39" s="27"/>
    </row>
    <row r="40" spans="1:10" s="229" customFormat="1" ht="55.2" x14ac:dyDescent="0.3">
      <c r="A40" s="221">
        <v>24</v>
      </c>
      <c r="B40" s="222" t="s">
        <v>94</v>
      </c>
      <c r="C40" s="223" t="s">
        <v>95</v>
      </c>
      <c r="D40" s="224" t="s">
        <v>93</v>
      </c>
      <c r="E40" s="224" t="s">
        <v>12</v>
      </c>
      <c r="F40" s="241" t="s">
        <v>394</v>
      </c>
      <c r="G40" s="226">
        <v>1111</v>
      </c>
      <c r="H40" s="236">
        <f t="shared" ref="H40:H41" si="4">ROUND(1.05*G40,0)</f>
        <v>1167</v>
      </c>
      <c r="I40" s="227" t="s">
        <v>1093</v>
      </c>
      <c r="J40" s="228"/>
    </row>
    <row r="41" spans="1:10" s="229" customFormat="1" ht="27.6" x14ac:dyDescent="0.3">
      <c r="A41" s="221">
        <v>25</v>
      </c>
      <c r="B41" s="222" t="s">
        <v>96</v>
      </c>
      <c r="C41" s="223" t="s">
        <v>97</v>
      </c>
      <c r="D41" s="224" t="s">
        <v>93</v>
      </c>
      <c r="E41" s="224" t="s">
        <v>12</v>
      </c>
      <c r="F41" s="241" t="s">
        <v>395</v>
      </c>
      <c r="G41" s="226">
        <v>1111</v>
      </c>
      <c r="H41" s="236">
        <f t="shared" si="4"/>
        <v>1167</v>
      </c>
      <c r="I41" s="227" t="s">
        <v>1093</v>
      </c>
      <c r="J41" s="228"/>
    </row>
    <row r="42" spans="1:10" s="4" customFormat="1" x14ac:dyDescent="0.3">
      <c r="A42" s="39">
        <v>26</v>
      </c>
      <c r="B42" s="2" t="s">
        <v>98</v>
      </c>
      <c r="C42" s="3" t="s">
        <v>99</v>
      </c>
      <c r="D42" s="1" t="s">
        <v>100</v>
      </c>
      <c r="E42" s="1" t="s">
        <v>101</v>
      </c>
      <c r="F42" s="83">
        <v>150</v>
      </c>
      <c r="G42" s="42">
        <f>150</f>
        <v>150</v>
      </c>
      <c r="H42" s="235">
        <f>G42</f>
        <v>150</v>
      </c>
      <c r="I42" s="49"/>
      <c r="J42" s="27"/>
    </row>
    <row r="43" spans="1:10" s="4" customFormat="1" x14ac:dyDescent="0.3">
      <c r="A43" s="39">
        <v>28</v>
      </c>
      <c r="B43" s="2" t="s">
        <v>104</v>
      </c>
      <c r="C43" s="3" t="s">
        <v>105</v>
      </c>
      <c r="D43" s="1" t="s">
        <v>100</v>
      </c>
      <c r="E43" s="1" t="s">
        <v>101</v>
      </c>
      <c r="F43" s="83">
        <v>50</v>
      </c>
      <c r="G43" s="40">
        <f>50</f>
        <v>50</v>
      </c>
      <c r="H43" s="233">
        <f>G43</f>
        <v>50</v>
      </c>
      <c r="I43" s="49"/>
      <c r="J43" s="27"/>
    </row>
    <row r="44" spans="1:10" s="4" customFormat="1" x14ac:dyDescent="0.3">
      <c r="A44" s="39">
        <v>29</v>
      </c>
      <c r="B44" s="2" t="s">
        <v>108</v>
      </c>
      <c r="C44" s="3" t="s">
        <v>1122</v>
      </c>
      <c r="D44" s="1" t="s">
        <v>110</v>
      </c>
      <c r="E44" s="1" t="s">
        <v>101</v>
      </c>
      <c r="F44" s="83" t="s">
        <v>396</v>
      </c>
      <c r="G44" s="40">
        <v>2</v>
      </c>
      <c r="H44" s="233">
        <f>G44</f>
        <v>2</v>
      </c>
      <c r="I44" s="49"/>
      <c r="J44" s="27"/>
    </row>
    <row r="45" spans="1:10" s="4" customFormat="1" x14ac:dyDescent="0.3">
      <c r="A45" s="39">
        <v>30</v>
      </c>
      <c r="B45" s="2" t="s">
        <v>113</v>
      </c>
      <c r="C45" s="3" t="s">
        <v>1123</v>
      </c>
      <c r="D45" s="1" t="s">
        <v>115</v>
      </c>
      <c r="E45" s="1" t="s">
        <v>69</v>
      </c>
      <c r="F45" s="83" t="s">
        <v>1094</v>
      </c>
      <c r="G45" s="40">
        <f>(12.56+12.89+15.88+15.77)*8</f>
        <v>456.80000000000007</v>
      </c>
      <c r="H45" s="233">
        <f t="shared" ref="H45:H49" si="5">ROUND(1.05*G45,0)</f>
        <v>480</v>
      </c>
      <c r="I45" s="49"/>
      <c r="J45" s="27"/>
    </row>
    <row r="46" spans="1:10" s="4" customFormat="1" x14ac:dyDescent="0.3">
      <c r="A46" s="39">
        <v>31</v>
      </c>
      <c r="B46" s="2" t="s">
        <v>116</v>
      </c>
      <c r="C46" s="3" t="s">
        <v>117</v>
      </c>
      <c r="D46" s="1" t="s">
        <v>118</v>
      </c>
      <c r="E46" s="1" t="s">
        <v>69</v>
      </c>
      <c r="F46" s="83" t="s">
        <v>397</v>
      </c>
      <c r="G46" s="42">
        <f xml:space="preserve"> 94.76 +104.68+ 68.84 + 80.17</f>
        <v>348.45</v>
      </c>
      <c r="H46" s="233">
        <f t="shared" si="5"/>
        <v>366</v>
      </c>
      <c r="I46" s="49"/>
      <c r="J46" s="27"/>
    </row>
    <row r="47" spans="1:10" s="4" customFormat="1" ht="27.6" x14ac:dyDescent="0.3">
      <c r="A47" s="39">
        <v>32</v>
      </c>
      <c r="B47" s="2" t="s">
        <v>119</v>
      </c>
      <c r="C47" s="3" t="s">
        <v>120</v>
      </c>
      <c r="D47" s="1" t="s">
        <v>121</v>
      </c>
      <c r="E47" s="1" t="s">
        <v>12</v>
      </c>
      <c r="F47" s="82" t="s">
        <v>398</v>
      </c>
      <c r="G47" s="41">
        <f>19.76+52.6+59.38</f>
        <v>131.74</v>
      </c>
      <c r="H47" s="233">
        <f t="shared" si="5"/>
        <v>138</v>
      </c>
      <c r="I47" s="49"/>
      <c r="J47" s="27"/>
    </row>
    <row r="48" spans="1:10" s="4" customFormat="1" ht="180" customHeight="1" x14ac:dyDescent="0.3">
      <c r="A48" s="39">
        <v>33</v>
      </c>
      <c r="B48" s="2" t="s">
        <v>122</v>
      </c>
      <c r="C48" s="3" t="s">
        <v>123</v>
      </c>
      <c r="D48" s="1" t="s">
        <v>121</v>
      </c>
      <c r="E48" s="1" t="s">
        <v>12</v>
      </c>
      <c r="F48" s="86" t="s">
        <v>443</v>
      </c>
      <c r="G48" s="43">
        <f>((11.2+11.14)*5.92)/2 +((5.05+5.08)*3.58)/2+((1.01+1.05)*0.5)/2+(0.7*2.05)/2+((2.63+2.74)*1.94)/2+(1.21*2.63)/2+(3.2+3.06)*3.47/2+1.72*3.65/2+(3.75*1.93)+(2.93*3.75)+((0.9+0.85)*0.5)/2+((5.05+3.96)*3.48)/2 + ((1+0.92)*0.5)/2+(4.97*7.03)+((2.17+2.41)*2.93)/2+(2.25*0.91)+((1.49*2.06)-(0.24*0.15))
+((1.33+1.15)*2.91)/2+(1*0.6)+(1*1.1) +((9.76+9.84)*5.98)/2  -3.35 + ((5.05+5.08)*3.63)/2+(5.11*0.92)/2+(5.11*0.9)/2+(4.21*1.32)/2+(4.21*1.32)/2+(3.61*1.1)/2+(3.61*1.02)/2+(0.57*0.65)+(1.16*0.58)  +15.077+(1.57*1.6)+ (1.93*3.75)+(2.93*3.75)+((3.93+3.96)*4.97)/2 + (4.97*3.28)+((3.71+3.85)*4.97)/2</f>
        <v>372.37574999999998</v>
      </c>
      <c r="H48" s="233">
        <f t="shared" si="5"/>
        <v>391</v>
      </c>
      <c r="I48" s="49"/>
      <c r="J48" s="27"/>
    </row>
    <row r="49" spans="1:10" s="4" customFormat="1" x14ac:dyDescent="0.3">
      <c r="A49" s="39">
        <v>34</v>
      </c>
      <c r="B49" s="2" t="s">
        <v>124</v>
      </c>
      <c r="C49" s="5" t="s">
        <v>125</v>
      </c>
      <c r="D49" s="1" t="s">
        <v>121</v>
      </c>
      <c r="E49" s="1" t="s">
        <v>12</v>
      </c>
      <c r="F49" s="83" t="s">
        <v>399</v>
      </c>
      <c r="G49" s="42">
        <f>16.5*15.3</f>
        <v>252.45000000000002</v>
      </c>
      <c r="H49" s="233">
        <f t="shared" si="5"/>
        <v>265</v>
      </c>
      <c r="I49" s="49"/>
      <c r="J49" s="27"/>
    </row>
    <row r="50" spans="1:10" s="4" customFormat="1" ht="331.2" x14ac:dyDescent="0.3">
      <c r="A50" s="39">
        <v>35</v>
      </c>
      <c r="B50" s="2" t="s">
        <v>126</v>
      </c>
      <c r="C50" s="5" t="s">
        <v>127</v>
      </c>
      <c r="D50" s="1" t="s">
        <v>128</v>
      </c>
      <c r="E50" s="1" t="s">
        <v>16</v>
      </c>
      <c r="F50" s="87" t="s">
        <v>433</v>
      </c>
      <c r="G50" s="104">
        <f>(0.95 * 0.08 * 0.08)*86 +(1.66 * 0.1 * 0.1)*10                                                                                                           +9.75*0.1*0.1  + 6.74*0.1*0.1 + 8.13*0.12*0.1+ ((0.97+1.61+2.39+3.38+4.1+4.74+5.38+6.02+6+5.27+4.81+4.03+3.14+2.48+1.82+1.17)*0.08*0.12)+(6.8*0.12*0.12)+ ((0.9+1.69+2.46+3.37+4.04+4.64+5.24+5.85+6.63+6.63+6.63+5.83+5.21+4.59+3.98+3.35+2.35+1.55+0.76)*0.08*0.12)+((6.63+6.63)*0.12*0.12)+ ((0.93+1.57+3.24+3.49+4.1+4.74+5.37+6.02+6.02+5.16+4.12+3.26+2.63+2+1.36)*0.08*0.12)+6.8*0.12*0.12 + ((1.18+1.94+2.7+3.25+4.25+4.84+5.44+6.03+6.81+6.83+6.84+6.07+5.46+4.87+4.26+3.2+2.42+1.65)*0.08*0.12)+((6.8+6.85)*0.12*0.12)+  (2.83 * 0.12 * 0.12)+ (0.79+1.53+2.27+2.8+3.76+4.38+4.92+5.61+12.71+12.72+12.74+5.62+4.95+4.37+3.78+2.75+2+1.37+1.36+1.86+2.47+3.08+3.9+4.91+5.73+5.71+5.09+4.5+3.9+3.28+2.3+1.53+0.76+0.91+1.51+2.18+3.31+3.91+4.51+5.11+5.71+5.71+5.11+4.51+3.91+3.23+2.29+1.54+0.91+0.87+1.62+2.38+3.27+3.93+4.53+5.12+5.74+5.73+4.9+4.54+3.93+2.96+2.33+1.69+1.05+5*12.91+5*12.92+4*12.94)*0.08*0.12+(6.5112+12.75+6.49)*0.12*0.12</f>
        <v>8.6122052800000013</v>
      </c>
      <c r="H50" s="233">
        <f>ROUND(1.05*G50,1)</f>
        <v>9</v>
      </c>
      <c r="I50" s="49"/>
      <c r="J50" s="27"/>
    </row>
    <row r="51" spans="1:10" s="4" customFormat="1" x14ac:dyDescent="0.3">
      <c r="A51" s="39">
        <v>36</v>
      </c>
      <c r="B51" s="2" t="s">
        <v>129</v>
      </c>
      <c r="C51" s="5" t="s">
        <v>130</v>
      </c>
      <c r="D51" s="1" t="s">
        <v>128</v>
      </c>
      <c r="E51" s="1" t="s">
        <v>16</v>
      </c>
      <c r="F51" s="41">
        <v>2.2999999999999998</v>
      </c>
      <c r="G51" s="43">
        <v>2.2999999999999998</v>
      </c>
      <c r="H51" s="233">
        <f t="shared" ref="H51:H106" si="6">ROUND(1.05*G51,1)</f>
        <v>2.4</v>
      </c>
      <c r="I51" s="49"/>
      <c r="J51" s="27"/>
    </row>
    <row r="52" spans="1:10" s="4" customFormat="1" ht="69" x14ac:dyDescent="0.3">
      <c r="A52" s="39">
        <v>37</v>
      </c>
      <c r="B52" s="2" t="s">
        <v>131</v>
      </c>
      <c r="C52" s="3" t="s">
        <v>132</v>
      </c>
      <c r="D52" s="1" t="s">
        <v>121</v>
      </c>
      <c r="E52" s="1" t="s">
        <v>12</v>
      </c>
      <c r="F52" s="82" t="s">
        <v>444</v>
      </c>
      <c r="G52" s="42">
        <v>217.32</v>
      </c>
      <c r="H52" s="233">
        <f t="shared" si="6"/>
        <v>228.2</v>
      </c>
      <c r="I52" s="49"/>
      <c r="J52" s="27"/>
    </row>
    <row r="53" spans="1:10" s="4" customFormat="1" x14ac:dyDescent="0.3">
      <c r="A53" s="39">
        <v>38</v>
      </c>
      <c r="B53" s="2" t="s">
        <v>133</v>
      </c>
      <c r="C53" s="3" t="s">
        <v>134</v>
      </c>
      <c r="D53" s="1" t="s">
        <v>135</v>
      </c>
      <c r="E53" s="1" t="s">
        <v>12</v>
      </c>
      <c r="F53" s="83" t="s">
        <v>400</v>
      </c>
      <c r="G53" s="40">
        <f>3.75*0.12*3.3+2*0.12*3.3 + (0.15*2.83)*3.45</f>
        <v>3.7415249999999998</v>
      </c>
      <c r="H53" s="233">
        <f t="shared" si="6"/>
        <v>3.9</v>
      </c>
      <c r="I53" s="49"/>
      <c r="J53" s="27"/>
    </row>
    <row r="54" spans="1:10" s="4" customFormat="1" ht="27.6" x14ac:dyDescent="0.3">
      <c r="A54" s="39">
        <v>40</v>
      </c>
      <c r="B54" s="2" t="s">
        <v>140</v>
      </c>
      <c r="C54" s="3" t="s">
        <v>1128</v>
      </c>
      <c r="D54" s="1" t="s">
        <v>121</v>
      </c>
      <c r="E54" s="1" t="s">
        <v>142</v>
      </c>
      <c r="F54" s="82" t="s">
        <v>401</v>
      </c>
      <c r="G54" s="40">
        <f>( (3.3/0.1)*0.02^2*1 +((3.57+1+1)/0.1)*0.02^2*1 + ((2.2+1.77)/0.1)*0.02^2*1)*7850</f>
        <v>403.17600000000004</v>
      </c>
      <c r="H54" s="233">
        <f t="shared" si="6"/>
        <v>423.3</v>
      </c>
      <c r="I54" s="49"/>
      <c r="J54" s="27"/>
    </row>
    <row r="55" spans="1:10" s="4" customFormat="1" x14ac:dyDescent="0.3">
      <c r="A55" s="39"/>
      <c r="B55" s="9" t="s">
        <v>143</v>
      </c>
      <c r="C55" s="6" t="s">
        <v>144</v>
      </c>
      <c r="D55" s="1" t="s">
        <v>6</v>
      </c>
      <c r="E55" s="1" t="s">
        <v>6</v>
      </c>
      <c r="F55" s="41"/>
      <c r="G55" s="78"/>
      <c r="H55" s="233"/>
      <c r="I55" s="49"/>
      <c r="J55" s="27"/>
    </row>
    <row r="56" spans="1:10" s="4" customFormat="1" ht="25.5" customHeight="1" x14ac:dyDescent="0.3">
      <c r="A56" s="39">
        <v>41</v>
      </c>
      <c r="B56" s="2" t="s">
        <v>145</v>
      </c>
      <c r="C56" s="3" t="s">
        <v>146</v>
      </c>
      <c r="D56" s="1" t="s">
        <v>147</v>
      </c>
      <c r="E56" s="1" t="s">
        <v>12</v>
      </c>
      <c r="F56" s="83" t="s">
        <v>402</v>
      </c>
      <c r="G56" s="42">
        <f>3*0.6</f>
        <v>1.7999999999999998</v>
      </c>
      <c r="H56" s="233">
        <f t="shared" si="6"/>
        <v>1.9</v>
      </c>
      <c r="I56" s="49"/>
      <c r="J56" s="27"/>
    </row>
    <row r="57" spans="1:10" s="4" customFormat="1" ht="110.4" x14ac:dyDescent="0.3">
      <c r="A57" s="39">
        <v>42</v>
      </c>
      <c r="B57" s="2" t="s">
        <v>148</v>
      </c>
      <c r="C57" s="3" t="s">
        <v>149</v>
      </c>
      <c r="D57" s="1" t="s">
        <v>121</v>
      </c>
      <c r="E57" s="1" t="s">
        <v>16</v>
      </c>
      <c r="F57" s="82" t="s">
        <v>403</v>
      </c>
      <c r="G57" s="41">
        <f>436.31*0.04</f>
        <v>17.452400000000001</v>
      </c>
      <c r="H57" s="242">
        <f t="shared" si="6"/>
        <v>18.3</v>
      </c>
      <c r="I57" s="49"/>
      <c r="J57" s="27"/>
    </row>
    <row r="58" spans="1:10" s="4" customFormat="1" ht="24" customHeight="1" x14ac:dyDescent="0.3">
      <c r="A58" s="39">
        <v>43</v>
      </c>
      <c r="B58" s="2" t="s">
        <v>150</v>
      </c>
      <c r="C58" s="3" t="s">
        <v>151</v>
      </c>
      <c r="D58" s="1" t="s">
        <v>121</v>
      </c>
      <c r="E58" s="1" t="s">
        <v>16</v>
      </c>
      <c r="F58" s="83" t="s">
        <v>404</v>
      </c>
      <c r="G58" s="40">
        <f>(0.15*3.45+0.15*6.15+0.15*5.15+0.15*2.25+0.15*2.6)*3.45</f>
        <v>10.143000000000001</v>
      </c>
      <c r="H58" s="233">
        <f t="shared" si="6"/>
        <v>10.7</v>
      </c>
      <c r="I58" s="49"/>
      <c r="J58" s="27"/>
    </row>
    <row r="59" spans="1:10" s="4" customFormat="1" x14ac:dyDescent="0.3">
      <c r="A59" s="91"/>
      <c r="B59" s="52">
        <v>23</v>
      </c>
      <c r="C59" s="53" t="s">
        <v>154</v>
      </c>
      <c r="D59" s="54" t="s">
        <v>6</v>
      </c>
      <c r="E59" s="54" t="s">
        <v>6</v>
      </c>
      <c r="F59" s="96"/>
      <c r="G59" s="93"/>
      <c r="H59" s="233">
        <f t="shared" si="6"/>
        <v>0</v>
      </c>
      <c r="I59" s="49"/>
      <c r="J59" s="27"/>
    </row>
    <row r="60" spans="1:10" s="4" customFormat="1" ht="27.6" x14ac:dyDescent="0.3">
      <c r="A60" s="39">
        <v>45</v>
      </c>
      <c r="B60" s="2" t="s">
        <v>1018</v>
      </c>
      <c r="C60" s="3" t="s">
        <v>1017</v>
      </c>
      <c r="D60" s="1" t="s">
        <v>1019</v>
      </c>
      <c r="E60" s="1" t="s">
        <v>12</v>
      </c>
      <c r="F60" s="82" t="s">
        <v>405</v>
      </c>
      <c r="G60" s="42">
        <f xml:space="preserve"> 129.79 + 205.92 + 315.77 + 134.01</f>
        <v>785.49</v>
      </c>
      <c r="H60" s="233">
        <f t="shared" si="6"/>
        <v>824.8</v>
      </c>
      <c r="I60" s="49"/>
      <c r="J60" s="27"/>
    </row>
    <row r="61" spans="1:10" s="4" customFormat="1" ht="27.6" x14ac:dyDescent="0.3">
      <c r="A61" s="39">
        <v>45</v>
      </c>
      <c r="B61" s="2" t="s">
        <v>155</v>
      </c>
      <c r="C61" s="3" t="s">
        <v>156</v>
      </c>
      <c r="D61" s="1" t="s">
        <v>157</v>
      </c>
      <c r="E61" s="1" t="s">
        <v>12</v>
      </c>
      <c r="F61" s="82" t="s">
        <v>405</v>
      </c>
      <c r="G61" s="42">
        <f xml:space="preserve"> 129.79 + 205.92 + 315.77 + 134.01</f>
        <v>785.49</v>
      </c>
      <c r="H61" s="233">
        <f t="shared" si="6"/>
        <v>824.8</v>
      </c>
      <c r="I61" s="49"/>
      <c r="J61" s="27"/>
    </row>
    <row r="62" spans="1:10" s="4" customFormat="1" ht="27.6" x14ac:dyDescent="0.3">
      <c r="A62" s="39">
        <v>46</v>
      </c>
      <c r="B62" s="2" t="s">
        <v>158</v>
      </c>
      <c r="C62" s="3" t="s">
        <v>159</v>
      </c>
      <c r="D62" s="1" t="s">
        <v>160</v>
      </c>
      <c r="E62" s="1" t="s">
        <v>12</v>
      </c>
      <c r="F62" s="82" t="s">
        <v>405</v>
      </c>
      <c r="G62" s="42">
        <f xml:space="preserve"> 129.79 + 205.92 + 315.77 + 134.01</f>
        <v>785.49</v>
      </c>
      <c r="H62" s="233">
        <f t="shared" si="6"/>
        <v>824.8</v>
      </c>
      <c r="I62" s="49"/>
      <c r="J62" s="27"/>
    </row>
    <row r="63" spans="1:10" s="4" customFormat="1" x14ac:dyDescent="0.3">
      <c r="A63" s="39">
        <v>47</v>
      </c>
      <c r="B63" s="2" t="s">
        <v>162</v>
      </c>
      <c r="C63" s="3" t="s">
        <v>163</v>
      </c>
      <c r="D63" s="1" t="s">
        <v>161</v>
      </c>
      <c r="E63" s="1" t="s">
        <v>12</v>
      </c>
      <c r="F63" s="83" t="s">
        <v>406</v>
      </c>
      <c r="G63" s="42">
        <f xml:space="preserve"> 325.42 + 336.88 +148.59</f>
        <v>810.89</v>
      </c>
      <c r="H63" s="233">
        <f t="shared" si="6"/>
        <v>851.4</v>
      </c>
      <c r="I63" s="49"/>
      <c r="J63" s="27"/>
    </row>
    <row r="64" spans="1:10" s="4" customFormat="1" x14ac:dyDescent="0.3">
      <c r="A64" s="91"/>
      <c r="B64" s="52">
        <v>32</v>
      </c>
      <c r="C64" s="53" t="s">
        <v>437</v>
      </c>
      <c r="D64" s="54" t="s">
        <v>6</v>
      </c>
      <c r="E64" s="54" t="s">
        <v>6</v>
      </c>
      <c r="F64" s="96"/>
      <c r="G64" s="93"/>
      <c r="H64" s="233">
        <f t="shared" si="6"/>
        <v>0</v>
      </c>
      <c r="I64" s="49"/>
      <c r="J64" s="27"/>
    </row>
    <row r="65" spans="1:10" s="4" customFormat="1" ht="27.6" x14ac:dyDescent="0.3">
      <c r="A65" s="39"/>
      <c r="B65" s="9" t="s">
        <v>164</v>
      </c>
      <c r="C65" s="6" t="s">
        <v>165</v>
      </c>
      <c r="D65" s="1"/>
      <c r="E65" s="1" t="s">
        <v>6</v>
      </c>
      <c r="F65" s="41"/>
      <c r="G65" s="78"/>
      <c r="H65" s="233">
        <f t="shared" si="6"/>
        <v>0</v>
      </c>
      <c r="I65" s="49"/>
      <c r="J65" s="27"/>
    </row>
    <row r="66" spans="1:10" s="4" customFormat="1" ht="27.6" x14ac:dyDescent="0.3">
      <c r="A66" s="39">
        <v>48</v>
      </c>
      <c r="B66" s="2" t="s">
        <v>166</v>
      </c>
      <c r="C66" s="3" t="s">
        <v>167</v>
      </c>
      <c r="D66" s="1" t="s">
        <v>168</v>
      </c>
      <c r="E66" s="1" t="s">
        <v>16</v>
      </c>
      <c r="F66" s="82" t="s">
        <v>1129</v>
      </c>
      <c r="G66" s="40">
        <f>(5.08*3.48+3.12*11.2+4.97*3.55+2.88*5.02+3.36*5.03+4.79*7.03)*0.1+180*0.12</f>
        <v>35.129800000000003</v>
      </c>
      <c r="H66" s="233">
        <f t="shared" si="6"/>
        <v>36.9</v>
      </c>
      <c r="I66" s="49"/>
      <c r="J66" s="27"/>
    </row>
    <row r="67" spans="1:10" s="229" customFormat="1" ht="33" customHeight="1" x14ac:dyDescent="0.3">
      <c r="A67" s="221">
        <v>49</v>
      </c>
      <c r="B67" s="222" t="s">
        <v>169</v>
      </c>
      <c r="C67" s="223" t="s">
        <v>170</v>
      </c>
      <c r="D67" s="224" t="s">
        <v>171</v>
      </c>
      <c r="E67" s="224" t="s">
        <v>16</v>
      </c>
      <c r="F67" s="225" t="s">
        <v>445</v>
      </c>
      <c r="G67" s="226">
        <f>(5.5+2.4+1.8+2.4+3.25)*1.2*0.2</f>
        <v>3.6840000000000006</v>
      </c>
      <c r="H67" s="236">
        <f t="shared" si="6"/>
        <v>3.9</v>
      </c>
      <c r="I67" s="227"/>
      <c r="J67" s="228"/>
    </row>
    <row r="68" spans="1:10" s="4" customFormat="1" ht="136.5" customHeight="1" x14ac:dyDescent="0.3">
      <c r="A68" s="39">
        <v>50</v>
      </c>
      <c r="B68" s="2" t="s">
        <v>172</v>
      </c>
      <c r="C68" s="3" t="s">
        <v>173</v>
      </c>
      <c r="D68" s="1" t="s">
        <v>174</v>
      </c>
      <c r="E68" s="1" t="s">
        <v>16</v>
      </c>
      <c r="F68" s="82" t="s">
        <v>1096</v>
      </c>
      <c r="G68" s="43">
        <f>((7.31+1)+(7.67+1)+(17.49+1)+((5.08+0.2)+(3.12+0.2)+(5.48+0.2)+2*(5.04+0.2)+2*(4.97+0.2)+(3.48+0.2)+(2.88+0.2)+(3.48+0.2)+(1.76+0.2)+(5.13+0.2)+(5.17+0.2)+(3.47+0.2)+(1.8+0.2)+(3.64+0.2)+(1.8+0.2)))*(0.8*1.3+0.75/2*0.5)+(5.08*3.48+3.12*11.2+4.97*3.55+2.88*5.02+3.36*5.03+4.79*7.03)*0.15+1.85*0.5*10.14*2+1.7*0.5*10.14*2+(2.2+0.85+6.16+6.75)*1*0.3+(5.5+2.4+1.8+2.4+3.25)*1.2*0.2</f>
        <v>193.87215</v>
      </c>
      <c r="H68" s="233">
        <f t="shared" si="6"/>
        <v>203.6</v>
      </c>
      <c r="I68" s="49"/>
      <c r="J68" s="27"/>
    </row>
    <row r="69" spans="1:10" s="4" customFormat="1" ht="55.5" customHeight="1" x14ac:dyDescent="0.3">
      <c r="A69" s="39">
        <v>52</v>
      </c>
      <c r="B69" s="2" t="s">
        <v>178</v>
      </c>
      <c r="C69" s="3" t="s">
        <v>378</v>
      </c>
      <c r="D69" s="1" t="s">
        <v>174</v>
      </c>
      <c r="E69" s="1" t="s">
        <v>179</v>
      </c>
      <c r="F69" s="41" t="s">
        <v>446</v>
      </c>
      <c r="G69" s="43">
        <f>0.19*(((12.89+15.88+15.77+12.56)*12.79-15.81-17.96-3.24-5.01)*0.8)*1000</f>
        <v>104619.92800000003</v>
      </c>
      <c r="H69" s="233">
        <f>ROUND(1.2*G69,-3)</f>
        <v>126000</v>
      </c>
      <c r="I69" s="49"/>
      <c r="J69" s="27"/>
    </row>
    <row r="70" spans="1:10" s="4" customFormat="1" x14ac:dyDescent="0.3">
      <c r="A70" s="91"/>
      <c r="B70" s="52">
        <v>38</v>
      </c>
      <c r="C70" s="53" t="s">
        <v>180</v>
      </c>
      <c r="D70" s="54" t="s">
        <v>6</v>
      </c>
      <c r="E70" s="54" t="s">
        <v>6</v>
      </c>
      <c r="F70" s="96"/>
      <c r="G70" s="93"/>
      <c r="H70" s="233"/>
      <c r="I70" s="49"/>
      <c r="J70" s="27"/>
    </row>
    <row r="71" spans="1:10" s="4" customFormat="1" ht="59.25" customHeight="1" x14ac:dyDescent="0.3">
      <c r="A71" s="39">
        <v>53</v>
      </c>
      <c r="B71" s="2" t="s">
        <v>181</v>
      </c>
      <c r="C71" s="3" t="s">
        <v>182</v>
      </c>
      <c r="D71" s="1" t="s">
        <v>183</v>
      </c>
      <c r="E71" s="1" t="s">
        <v>12</v>
      </c>
      <c r="F71" s="87" t="s">
        <v>447</v>
      </c>
      <c r="G71" s="43">
        <f xml:space="preserve"> 12.56*1.4*2+15.77*1.4*2+12.89*1.4*2+15.88*1.4*2+5.01*1.4*4*2+11.14*1.4*4*2+5*1.4*2+5*1.4*4 +1.85*10.34*2+1.7*10.34*2 +10</f>
        <v>466.17399999999998</v>
      </c>
      <c r="H71" s="233">
        <f t="shared" si="6"/>
        <v>489.5</v>
      </c>
      <c r="I71" s="49"/>
      <c r="J71" s="27"/>
    </row>
    <row r="72" spans="1:10" s="4" customFormat="1" ht="96.6" x14ac:dyDescent="0.3">
      <c r="A72" s="39">
        <v>54</v>
      </c>
      <c r="B72" s="2" t="s">
        <v>184</v>
      </c>
      <c r="C72" s="3" t="s">
        <v>185</v>
      </c>
      <c r="D72" s="1" t="s">
        <v>188</v>
      </c>
      <c r="E72" s="1" t="s">
        <v>189</v>
      </c>
      <c r="F72" s="82" t="s">
        <v>1097</v>
      </c>
      <c r="G72" s="43">
        <f>44*2.98*93.3+(2.3/0.15*2+1/0.15*2)*1.58*120+2*(3.8+3.2+2.6)*1/0.15*0.888*120+(2+1.4)*1/0.15*0.888*93.3+(1.85/0.2*1.7+1.7/0.2*1.85)*2*0.888+2*(7.1/0.125*1+1/0.125*7.1)*1.58</f>
        <v>36508.349600000001</v>
      </c>
      <c r="H72" s="233">
        <f>ROUND(1.05*G72,-1)</f>
        <v>38330</v>
      </c>
      <c r="I72" s="49"/>
      <c r="J72" s="27"/>
    </row>
    <row r="73" spans="1:10" s="4" customFormat="1" x14ac:dyDescent="0.3">
      <c r="A73" s="39">
        <v>55</v>
      </c>
      <c r="B73" s="2" t="s">
        <v>190</v>
      </c>
      <c r="C73" s="3" t="s">
        <v>191</v>
      </c>
      <c r="D73" s="1" t="s">
        <v>188</v>
      </c>
      <c r="E73" s="1" t="s">
        <v>142</v>
      </c>
      <c r="F73" s="83" t="s">
        <v>407</v>
      </c>
      <c r="G73" s="43">
        <f>((3.72+5.49)*0.5*9.58+15.61*2.78)*3.24</f>
        <v>283.53790800000002</v>
      </c>
      <c r="H73" s="233">
        <f t="shared" si="6"/>
        <v>297.7</v>
      </c>
      <c r="I73" s="49"/>
      <c r="J73" s="27"/>
    </row>
    <row r="74" spans="1:10" s="4" customFormat="1" ht="27.6" x14ac:dyDescent="0.3">
      <c r="A74" s="39">
        <v>56</v>
      </c>
      <c r="B74" s="2" t="s">
        <v>194</v>
      </c>
      <c r="C74" s="3" t="s">
        <v>1124</v>
      </c>
      <c r="D74" s="1" t="s">
        <v>196</v>
      </c>
      <c r="E74" s="1" t="s">
        <v>142</v>
      </c>
      <c r="F74" s="82" t="s">
        <v>1098</v>
      </c>
      <c r="G74" s="43">
        <f>(2*15.77+4*12.56+2*5.02+4.97)/0.2*4</f>
        <v>1935.7999999999997</v>
      </c>
      <c r="H74" s="233">
        <f t="shared" si="6"/>
        <v>2032.6</v>
      </c>
      <c r="I74" s="49"/>
      <c r="J74" s="27"/>
    </row>
    <row r="75" spans="1:10" s="4" customFormat="1" x14ac:dyDescent="0.3">
      <c r="A75" s="39">
        <v>57</v>
      </c>
      <c r="B75" s="2" t="s">
        <v>197</v>
      </c>
      <c r="C75" s="3" t="s">
        <v>198</v>
      </c>
      <c r="D75" s="1" t="s">
        <v>196</v>
      </c>
      <c r="E75" s="1" t="s">
        <v>12</v>
      </c>
      <c r="F75" s="83" t="s">
        <v>408</v>
      </c>
      <c r="G75" s="40">
        <f>97*3.9+1.85*1.7+2*7.1*1</f>
        <v>395.64499999999998</v>
      </c>
      <c r="H75" s="233">
        <f t="shared" si="6"/>
        <v>415.4</v>
      </c>
      <c r="I75" s="49"/>
      <c r="J75" s="27"/>
    </row>
    <row r="76" spans="1:10" s="4" customFormat="1" x14ac:dyDescent="0.3">
      <c r="A76" s="91"/>
      <c r="B76" s="52">
        <v>42</v>
      </c>
      <c r="C76" s="53" t="s">
        <v>438</v>
      </c>
      <c r="D76" s="54" t="s">
        <v>6</v>
      </c>
      <c r="E76" s="54" t="s">
        <v>6</v>
      </c>
      <c r="F76" s="96"/>
      <c r="G76" s="93"/>
      <c r="H76" s="233">
        <f t="shared" si="6"/>
        <v>0</v>
      </c>
      <c r="I76" s="49"/>
      <c r="J76" s="27"/>
    </row>
    <row r="77" spans="1:10" s="4" customFormat="1" x14ac:dyDescent="0.3">
      <c r="A77" s="39"/>
      <c r="B77" s="9" t="s">
        <v>199</v>
      </c>
      <c r="C77" s="6" t="s">
        <v>200</v>
      </c>
      <c r="D77" s="1"/>
      <c r="E77" s="1" t="s">
        <v>6</v>
      </c>
      <c r="F77" s="41"/>
      <c r="G77" s="78"/>
      <c r="H77" s="233">
        <f t="shared" si="6"/>
        <v>0</v>
      </c>
      <c r="I77" s="49"/>
      <c r="J77" s="27"/>
    </row>
    <row r="78" spans="1:10" s="4" customFormat="1" ht="27.6" x14ac:dyDescent="0.3">
      <c r="A78" s="39">
        <v>58</v>
      </c>
      <c r="B78" s="2" t="s">
        <v>201</v>
      </c>
      <c r="C78" s="3" t="s">
        <v>202</v>
      </c>
      <c r="D78" s="1" t="s">
        <v>203</v>
      </c>
      <c r="E78" s="1" t="s">
        <v>16</v>
      </c>
      <c r="F78" s="82" t="s">
        <v>409</v>
      </c>
      <c r="G78" s="43">
        <f>(2.2+0.85)*0.5*2.96+(6.16+6.75)*0.5*0.88</f>
        <v>10.1944</v>
      </c>
      <c r="H78" s="233">
        <f t="shared" si="6"/>
        <v>10.7</v>
      </c>
      <c r="I78" s="49"/>
      <c r="J78" s="27"/>
    </row>
    <row r="79" spans="1:10" s="4" customFormat="1" x14ac:dyDescent="0.3">
      <c r="A79" s="39">
        <v>59</v>
      </c>
      <c r="B79" s="2" t="s">
        <v>204</v>
      </c>
      <c r="C79" s="3" t="s">
        <v>205</v>
      </c>
      <c r="D79" s="1" t="s">
        <v>203</v>
      </c>
      <c r="E79" s="1" t="s">
        <v>69</v>
      </c>
      <c r="F79" s="83" t="s">
        <v>381</v>
      </c>
      <c r="G79" s="40">
        <f>15.88+12.89+12.56+15.77</f>
        <v>57.100000000000009</v>
      </c>
      <c r="H79" s="233">
        <f t="shared" si="6"/>
        <v>60</v>
      </c>
      <c r="I79" s="49"/>
      <c r="J79" s="27"/>
    </row>
    <row r="80" spans="1:10" s="4" customFormat="1" ht="27.6" x14ac:dyDescent="0.3">
      <c r="A80" s="39">
        <v>60</v>
      </c>
      <c r="B80" s="2" t="s">
        <v>208</v>
      </c>
      <c r="C80" s="3" t="s">
        <v>209</v>
      </c>
      <c r="D80" s="1" t="s">
        <v>210</v>
      </c>
      <c r="E80" s="1" t="s">
        <v>16</v>
      </c>
      <c r="F80" s="87" t="s">
        <v>410</v>
      </c>
      <c r="G80" s="40">
        <f>(10.26-3.12)*1*0.75+(10.26-3.33)*1*0.75+(10.26-0.7)*1*0.75+(10.26-2.96)*1*0.75</f>
        <v>23.197499999999998</v>
      </c>
      <c r="H80" s="233">
        <f t="shared" si="6"/>
        <v>24.4</v>
      </c>
      <c r="I80" s="49"/>
      <c r="J80" s="27"/>
    </row>
    <row r="81" spans="1:10" s="4" customFormat="1" ht="27.6" x14ac:dyDescent="0.3">
      <c r="A81" s="39">
        <v>61</v>
      </c>
      <c r="B81" s="2" t="s">
        <v>211</v>
      </c>
      <c r="C81" s="3" t="s">
        <v>212</v>
      </c>
      <c r="D81" s="1" t="s">
        <v>213</v>
      </c>
      <c r="E81" s="1" t="s">
        <v>16</v>
      </c>
      <c r="F81" s="82" t="s">
        <v>411</v>
      </c>
      <c r="G81" s="43">
        <f>((0.35*0.22*1.6*25)+(3.03*3.33*1.6)+((2.72*4.2)/2)*1.6+((2.84*4.2)/2)*1.6-(2*1.7+0.77)*1.6-(0.81*1+0.39)*1.6)*0.65</f>
        <v>19.053736000000004</v>
      </c>
      <c r="H81" s="233">
        <f t="shared" si="6"/>
        <v>20</v>
      </c>
      <c r="I81" s="49"/>
      <c r="J81" s="27"/>
    </row>
    <row r="82" spans="1:10" s="4" customFormat="1" ht="27.6" x14ac:dyDescent="0.3">
      <c r="A82" s="39">
        <v>62</v>
      </c>
      <c r="B82" s="2" t="s">
        <v>214</v>
      </c>
      <c r="C82" s="3" t="s">
        <v>215</v>
      </c>
      <c r="D82" s="1" t="s">
        <v>216</v>
      </c>
      <c r="E82" s="1" t="s">
        <v>12</v>
      </c>
      <c r="F82" s="82" t="s">
        <v>405</v>
      </c>
      <c r="G82" s="42">
        <f xml:space="preserve"> 129.79 + 205.92 + 315.77 + 134.01</f>
        <v>785.49</v>
      </c>
      <c r="H82" s="233">
        <f t="shared" si="6"/>
        <v>824.8</v>
      </c>
      <c r="I82" s="49"/>
      <c r="J82" s="27"/>
    </row>
    <row r="83" spans="1:10" s="4" customFormat="1" ht="27.6" x14ac:dyDescent="0.3">
      <c r="A83" s="39">
        <v>63</v>
      </c>
      <c r="B83" s="2" t="s">
        <v>217</v>
      </c>
      <c r="C83" s="3" t="s">
        <v>218</v>
      </c>
      <c r="D83" s="1" t="s">
        <v>216</v>
      </c>
      <c r="E83" s="1" t="s">
        <v>12</v>
      </c>
      <c r="F83" s="82" t="s">
        <v>405</v>
      </c>
      <c r="G83" s="42">
        <f xml:space="preserve"> 129.79 + 205.92 + 315.77 + 134.01</f>
        <v>785.49</v>
      </c>
      <c r="H83" s="233">
        <f t="shared" si="6"/>
        <v>824.8</v>
      </c>
      <c r="I83" s="49"/>
      <c r="J83" s="27"/>
    </row>
    <row r="84" spans="1:10" s="4" customFormat="1" ht="27.6" x14ac:dyDescent="0.3">
      <c r="A84" s="39"/>
      <c r="B84" s="9" t="s">
        <v>219</v>
      </c>
      <c r="C84" s="6" t="s">
        <v>220</v>
      </c>
      <c r="D84" s="1"/>
      <c r="E84" s="1" t="s">
        <v>6</v>
      </c>
      <c r="F84" s="41"/>
      <c r="G84" s="78"/>
      <c r="H84" s="233">
        <f t="shared" si="6"/>
        <v>0</v>
      </c>
      <c r="I84" s="49"/>
      <c r="J84" s="27"/>
    </row>
    <row r="85" spans="1:10" s="4" customFormat="1" ht="27.6" x14ac:dyDescent="0.3">
      <c r="A85" s="39">
        <v>64</v>
      </c>
      <c r="B85" s="2" t="s">
        <v>221</v>
      </c>
      <c r="C85" s="3" t="s">
        <v>222</v>
      </c>
      <c r="D85" s="1" t="s">
        <v>223</v>
      </c>
      <c r="E85" s="1" t="s">
        <v>12</v>
      </c>
      <c r="F85" s="87" t="s">
        <v>405</v>
      </c>
      <c r="G85" s="40">
        <f>(3.36+1.88+1.2+1+1.81+1)*3+ (1.81*2+0.34+0.2)*3.3</f>
        <v>44.478000000000002</v>
      </c>
      <c r="H85" s="233">
        <f t="shared" si="6"/>
        <v>46.7</v>
      </c>
      <c r="I85" s="49"/>
      <c r="J85" s="27"/>
    </row>
    <row r="86" spans="1:10" s="4" customFormat="1" x14ac:dyDescent="0.3">
      <c r="A86" s="39">
        <v>65</v>
      </c>
      <c r="B86" s="2" t="s">
        <v>224</v>
      </c>
      <c r="C86" s="3" t="s">
        <v>225</v>
      </c>
      <c r="D86" s="1" t="s">
        <v>223</v>
      </c>
      <c r="E86" s="1" t="s">
        <v>12</v>
      </c>
      <c r="F86" s="88" t="s">
        <v>412</v>
      </c>
      <c r="G86" s="42">
        <f xml:space="preserve"> (1.89+1.75)*3 + (1.89+1.75)*3.3 + (1.89+1.75)*3.45</f>
        <v>35.489999999999995</v>
      </c>
      <c r="H86" s="233">
        <f t="shared" si="6"/>
        <v>37.299999999999997</v>
      </c>
      <c r="I86" s="49"/>
      <c r="J86" s="27"/>
    </row>
    <row r="87" spans="1:10" s="4" customFormat="1" x14ac:dyDescent="0.3">
      <c r="A87" s="39">
        <v>66</v>
      </c>
      <c r="B87" s="2" t="s">
        <v>228</v>
      </c>
      <c r="C87" s="3" t="s">
        <v>229</v>
      </c>
      <c r="D87" s="1" t="s">
        <v>230</v>
      </c>
      <c r="E87" s="1" t="s">
        <v>69</v>
      </c>
      <c r="F87" s="83" t="s">
        <v>413</v>
      </c>
      <c r="G87" s="40">
        <f>2*2.45</f>
        <v>4.9000000000000004</v>
      </c>
      <c r="H87" s="233">
        <f t="shared" si="6"/>
        <v>5.0999999999999996</v>
      </c>
      <c r="I87" s="49"/>
      <c r="J87" s="27"/>
    </row>
    <row r="88" spans="1:10" s="4" customFormat="1" x14ac:dyDescent="0.3">
      <c r="A88" s="39"/>
      <c r="B88" s="63">
        <v>49</v>
      </c>
      <c r="C88" s="6" t="s">
        <v>231</v>
      </c>
      <c r="D88" s="1" t="s">
        <v>6</v>
      </c>
      <c r="E88" s="1" t="s">
        <v>6</v>
      </c>
      <c r="F88" s="41"/>
      <c r="G88" s="78"/>
      <c r="H88" s="233"/>
      <c r="I88" s="49"/>
      <c r="J88" s="27"/>
    </row>
    <row r="89" spans="1:10" s="4" customFormat="1" x14ac:dyDescent="0.3">
      <c r="A89" s="39">
        <v>67</v>
      </c>
      <c r="B89" s="2" t="s">
        <v>232</v>
      </c>
      <c r="C89" s="3" t="s">
        <v>233</v>
      </c>
      <c r="D89" s="1" t="s">
        <v>234</v>
      </c>
      <c r="E89" s="1" t="s">
        <v>56</v>
      </c>
      <c r="F89" s="88" t="s">
        <v>414</v>
      </c>
      <c r="G89" s="42">
        <f>3.36+1.88+1.2+1+1.81+1+1.81*2+0.34+0.2</f>
        <v>14.41</v>
      </c>
      <c r="H89" s="233">
        <f t="shared" si="6"/>
        <v>15.1</v>
      </c>
      <c r="I89" s="49"/>
      <c r="J89" s="27"/>
    </row>
    <row r="90" spans="1:10" s="4" customFormat="1" x14ac:dyDescent="0.3">
      <c r="A90" s="39">
        <v>68</v>
      </c>
      <c r="B90" s="2" t="s">
        <v>235</v>
      </c>
      <c r="C90" s="3" t="s">
        <v>236</v>
      </c>
      <c r="D90" s="1" t="s">
        <v>234</v>
      </c>
      <c r="E90" s="1" t="s">
        <v>56</v>
      </c>
      <c r="F90" s="88" t="s">
        <v>415</v>
      </c>
      <c r="G90" s="42">
        <f xml:space="preserve"> 1.89+1.75+  1.89+1.75+1.89+1.75</f>
        <v>10.92</v>
      </c>
      <c r="H90" s="233">
        <f t="shared" si="6"/>
        <v>11.5</v>
      </c>
      <c r="I90" s="49"/>
      <c r="J90" s="27"/>
    </row>
    <row r="91" spans="1:10" s="4" customFormat="1" x14ac:dyDescent="0.3">
      <c r="A91" s="39">
        <v>69</v>
      </c>
      <c r="B91" s="2" t="s">
        <v>237</v>
      </c>
      <c r="C91" s="3" t="s">
        <v>238</v>
      </c>
      <c r="D91" s="1" t="s">
        <v>234</v>
      </c>
      <c r="E91" s="1" t="s">
        <v>56</v>
      </c>
      <c r="F91" s="81" t="s">
        <v>381</v>
      </c>
      <c r="G91" s="40">
        <f>15.88+12.89+12.56+15.77</f>
        <v>57.100000000000009</v>
      </c>
      <c r="H91" s="233">
        <f t="shared" si="6"/>
        <v>60</v>
      </c>
      <c r="I91" s="49"/>
      <c r="J91" s="27"/>
    </row>
    <row r="92" spans="1:10" s="4" customFormat="1" x14ac:dyDescent="0.3">
      <c r="A92" s="91"/>
      <c r="B92" s="65" t="s">
        <v>439</v>
      </c>
      <c r="C92" s="53" t="s">
        <v>440</v>
      </c>
      <c r="D92" s="54" t="s">
        <v>6</v>
      </c>
      <c r="E92" s="54" t="s">
        <v>6</v>
      </c>
      <c r="F92" s="96"/>
      <c r="G92" s="93"/>
      <c r="H92" s="233">
        <f t="shared" si="6"/>
        <v>0</v>
      </c>
      <c r="I92" s="49"/>
      <c r="J92" s="27"/>
    </row>
    <row r="93" spans="1:10" s="4" customFormat="1" x14ac:dyDescent="0.3">
      <c r="A93" s="39"/>
      <c r="B93" s="9" t="s">
        <v>239</v>
      </c>
      <c r="C93" s="6" t="s">
        <v>240</v>
      </c>
      <c r="D93" s="1"/>
      <c r="E93" s="1" t="s">
        <v>6</v>
      </c>
      <c r="F93" s="41"/>
      <c r="G93" s="78"/>
      <c r="H93" s="233"/>
      <c r="I93" s="49"/>
      <c r="J93" s="27"/>
    </row>
    <row r="94" spans="1:10" s="4" customFormat="1" ht="27.6" x14ac:dyDescent="0.3">
      <c r="A94" s="39">
        <v>70</v>
      </c>
      <c r="B94" s="2" t="s">
        <v>241</v>
      </c>
      <c r="C94" s="3" t="s">
        <v>242</v>
      </c>
      <c r="D94" s="1" t="s">
        <v>243</v>
      </c>
      <c r="E94" s="1" t="s">
        <v>16</v>
      </c>
      <c r="F94" s="86" t="s">
        <v>416</v>
      </c>
      <c r="G94" s="40">
        <f>(((12.89-0.8)/0.6)*0.15^2)*2 + (((15.88-0.8)/0.6*0.15^2))*2+6*15.88*0.15^2+6*12.89*0.15^2</f>
        <v>5.9216999999999995</v>
      </c>
      <c r="H94" s="233">
        <f t="shared" si="6"/>
        <v>6.2</v>
      </c>
      <c r="I94" s="49"/>
      <c r="J94" s="27"/>
    </row>
    <row r="95" spans="1:10" s="4" customFormat="1" x14ac:dyDescent="0.3">
      <c r="A95" s="39">
        <v>71</v>
      </c>
      <c r="B95" s="2" t="s">
        <v>244</v>
      </c>
      <c r="C95" s="3" t="s">
        <v>245</v>
      </c>
      <c r="D95" s="1" t="s">
        <v>246</v>
      </c>
      <c r="E95" s="1" t="s">
        <v>16</v>
      </c>
      <c r="F95" s="83">
        <v>1.03</v>
      </c>
      <c r="G95" s="40">
        <v>1.03</v>
      </c>
      <c r="H95" s="233">
        <f t="shared" si="6"/>
        <v>1.1000000000000001</v>
      </c>
      <c r="I95" s="49"/>
      <c r="J95" s="27"/>
    </row>
    <row r="96" spans="1:10" s="4" customFormat="1" x14ac:dyDescent="0.3">
      <c r="A96" s="39">
        <v>72</v>
      </c>
      <c r="B96" s="2" t="s">
        <v>247</v>
      </c>
      <c r="C96" s="3" t="s">
        <v>248</v>
      </c>
      <c r="D96" s="1" t="s">
        <v>246</v>
      </c>
      <c r="E96" s="1" t="s">
        <v>16</v>
      </c>
      <c r="F96" s="83">
        <v>0.4</v>
      </c>
      <c r="G96" s="40">
        <v>0.4</v>
      </c>
      <c r="H96" s="233">
        <f t="shared" si="6"/>
        <v>0.4</v>
      </c>
      <c r="I96" s="49"/>
      <c r="J96" s="27"/>
    </row>
    <row r="97" spans="1:10" s="4" customFormat="1" x14ac:dyDescent="0.3">
      <c r="A97" s="39">
        <v>73</v>
      </c>
      <c r="B97" s="2" t="s">
        <v>249</v>
      </c>
      <c r="C97" s="3" t="s">
        <v>250</v>
      </c>
      <c r="D97" s="1" t="s">
        <v>251</v>
      </c>
      <c r="E97" s="1" t="s">
        <v>16</v>
      </c>
      <c r="F97" s="83" t="s">
        <v>417</v>
      </c>
      <c r="G97" s="40">
        <f xml:space="preserve"> 0.49+ 0.96 +0.43+ 0.52</f>
        <v>2.4</v>
      </c>
      <c r="H97" s="233">
        <f t="shared" si="6"/>
        <v>2.5</v>
      </c>
      <c r="I97" s="49"/>
      <c r="J97" s="27"/>
    </row>
    <row r="98" spans="1:10" s="4" customFormat="1" x14ac:dyDescent="0.3">
      <c r="A98" s="39"/>
      <c r="B98" s="9" t="s">
        <v>252</v>
      </c>
      <c r="C98" s="6" t="s">
        <v>253</v>
      </c>
      <c r="D98" s="1"/>
      <c r="E98" s="1" t="s">
        <v>6</v>
      </c>
      <c r="F98" s="41"/>
      <c r="G98" s="78"/>
      <c r="H98" s="233"/>
      <c r="I98" s="49"/>
      <c r="J98" s="27"/>
    </row>
    <row r="99" spans="1:10" s="4" customFormat="1" ht="41.4" x14ac:dyDescent="0.3">
      <c r="A99" s="39">
        <v>74</v>
      </c>
      <c r="B99" s="2" t="s">
        <v>254</v>
      </c>
      <c r="C99" s="3" t="s">
        <v>255</v>
      </c>
      <c r="D99" s="1" t="s">
        <v>256</v>
      </c>
      <c r="E99" s="1" t="s">
        <v>16</v>
      </c>
      <c r="F99" s="86" t="s">
        <v>448</v>
      </c>
      <c r="G99" s="43">
        <f>((0.08*0.16)*(7.9*2+12.55)+0.08^2*(2+2*3.58+2.55*2+1.67*2+2.42*2)) *16</f>
        <v>8.1039360000000009</v>
      </c>
      <c r="H99" s="233">
        <f t="shared" si="6"/>
        <v>8.5</v>
      </c>
      <c r="I99" s="49"/>
      <c r="J99" s="27"/>
    </row>
    <row r="100" spans="1:10" s="4" customFormat="1" x14ac:dyDescent="0.3">
      <c r="A100" s="39"/>
      <c r="B100" s="9" t="s">
        <v>257</v>
      </c>
      <c r="C100" s="6" t="s">
        <v>258</v>
      </c>
      <c r="D100" s="80"/>
      <c r="E100" s="80"/>
      <c r="F100" s="80"/>
      <c r="G100" s="78"/>
      <c r="H100" s="233">
        <f t="shared" si="6"/>
        <v>0</v>
      </c>
      <c r="I100" s="49"/>
      <c r="J100" s="27"/>
    </row>
    <row r="101" spans="1:10" s="4" customFormat="1" x14ac:dyDescent="0.3">
      <c r="A101" s="39">
        <v>75</v>
      </c>
      <c r="B101" s="2" t="s">
        <v>259</v>
      </c>
      <c r="C101" s="3" t="s">
        <v>260</v>
      </c>
      <c r="D101" s="1" t="s">
        <v>261</v>
      </c>
      <c r="E101" s="1" t="s">
        <v>16</v>
      </c>
      <c r="F101" s="83" t="s">
        <v>434</v>
      </c>
      <c r="G101" s="43">
        <f>(15.8/0.3+1)*16.88*0.05^2</f>
        <v>2.2647333333333339</v>
      </c>
      <c r="H101" s="233">
        <f t="shared" si="6"/>
        <v>2.4</v>
      </c>
      <c r="I101" s="49"/>
      <c r="J101" s="27"/>
    </row>
    <row r="102" spans="1:10" s="4" customFormat="1" x14ac:dyDescent="0.3">
      <c r="A102" s="39"/>
      <c r="B102" s="9" t="s">
        <v>262</v>
      </c>
      <c r="C102" s="6" t="s">
        <v>263</v>
      </c>
      <c r="D102" s="1"/>
      <c r="E102" s="1" t="s">
        <v>6</v>
      </c>
      <c r="F102" s="41"/>
      <c r="G102" s="78"/>
      <c r="H102" s="233"/>
      <c r="I102" s="49"/>
      <c r="J102" s="27"/>
    </row>
    <row r="103" spans="1:10" s="4" customFormat="1" x14ac:dyDescent="0.3">
      <c r="A103" s="39">
        <v>76</v>
      </c>
      <c r="B103" s="2" t="s">
        <v>264</v>
      </c>
      <c r="C103" s="3" t="s">
        <v>265</v>
      </c>
      <c r="D103" s="1" t="s">
        <v>266</v>
      </c>
      <c r="E103" s="1" t="s">
        <v>12</v>
      </c>
      <c r="F103" s="81" t="s">
        <v>435</v>
      </c>
      <c r="G103" s="43">
        <f>17.46*14.49*1.2</f>
        <v>303.59448000000003</v>
      </c>
      <c r="H103" s="233">
        <f t="shared" si="6"/>
        <v>318.8</v>
      </c>
      <c r="I103" s="49"/>
      <c r="J103" s="27"/>
    </row>
    <row r="104" spans="1:10" s="4" customFormat="1" x14ac:dyDescent="0.3">
      <c r="A104" s="39">
        <v>77</v>
      </c>
      <c r="B104" s="2" t="s">
        <v>267</v>
      </c>
      <c r="C104" s="3" t="s">
        <v>268</v>
      </c>
      <c r="D104" s="1" t="s">
        <v>269</v>
      </c>
      <c r="E104" s="1" t="s">
        <v>12</v>
      </c>
      <c r="F104" s="81" t="s">
        <v>436</v>
      </c>
      <c r="G104" s="40">
        <f>17.46*14.49</f>
        <v>252.99540000000002</v>
      </c>
      <c r="H104" s="233">
        <f t="shared" si="6"/>
        <v>265.60000000000002</v>
      </c>
      <c r="I104" s="49"/>
      <c r="J104" s="27"/>
    </row>
    <row r="105" spans="1:10" s="4" customFormat="1" x14ac:dyDescent="0.3">
      <c r="A105" s="39"/>
      <c r="B105" s="63">
        <v>53</v>
      </c>
      <c r="C105" s="6" t="s">
        <v>270</v>
      </c>
      <c r="D105" s="1" t="s">
        <v>6</v>
      </c>
      <c r="E105" s="1" t="s">
        <v>6</v>
      </c>
      <c r="F105" s="41"/>
      <c r="G105" s="78"/>
      <c r="H105" s="233"/>
      <c r="I105" s="49"/>
      <c r="J105" s="27"/>
    </row>
    <row r="106" spans="1:10" s="4" customFormat="1" ht="151.5" customHeight="1" x14ac:dyDescent="0.3">
      <c r="A106" s="39">
        <v>78</v>
      </c>
      <c r="B106" s="2" t="s">
        <v>271</v>
      </c>
      <c r="C106" s="3" t="s">
        <v>272</v>
      </c>
      <c r="D106" s="1" t="s">
        <v>273</v>
      </c>
      <c r="E106" s="1" t="s">
        <v>12</v>
      </c>
      <c r="F106" s="82" t="s">
        <v>443</v>
      </c>
      <c r="G106" s="43">
        <f>((11.2+11.14)*5.92)/2 +((5.05+5.08)*3.58)/2+((1.01+1.05)*0.5)/2+(0.7*2.05)/2+((2.63+2.74)*1.94)/2+(1.21*2.63)/2+(3.2+3.06)*3.47/2+1.72*3.65/2+(3.75*1.93)+(2.93*3.75)+((0.9+0.85)*0.5)/2+((5.05+3.96)*3.48)/2 + ((1+0.92)*0.5)/2+(4.97*7.03)+((2.17+2.41)*2.93)/2+(2.25*0.91)+((1.49*2.06)-(0.24*0.15))
+((1.33+1.15)*2.91)/2+(1*0.6)+(1*1.1) +((9.76+9.84)*5.98)/2  -3.35 + ((5.05+5.08)*3.63)/2+(5.11*0.92)/2+(5.11*0.9)/2+(4.21*1.32)/2+(4.21*1.32)/2+(3.61*1.1)/2+(3.61*1.02)/2+(0.57*0.65)+(1.16*0.58)  +15.077+(1.57*1.6)+ (1.93*3.75)+(2.93*3.75)+((3.93+3.96)*4.97)/2 + (4.97*3.28)+((3.71+3.85)*4.97)/2</f>
        <v>372.37574999999998</v>
      </c>
      <c r="H106" s="233">
        <f t="shared" si="6"/>
        <v>391</v>
      </c>
      <c r="I106" s="49"/>
      <c r="J106" s="27"/>
    </row>
    <row r="107" spans="1:10" s="4" customFormat="1" x14ac:dyDescent="0.3">
      <c r="A107" s="39"/>
      <c r="B107" s="9" t="s">
        <v>274</v>
      </c>
      <c r="C107" s="6" t="s">
        <v>275</v>
      </c>
      <c r="D107" s="1"/>
      <c r="E107" s="1" t="s">
        <v>6</v>
      </c>
      <c r="F107" s="41"/>
      <c r="G107" s="78"/>
      <c r="H107" s="233"/>
      <c r="I107" s="49"/>
      <c r="J107" s="27"/>
    </row>
    <row r="108" spans="1:10" s="4" customFormat="1" ht="69" x14ac:dyDescent="0.3">
      <c r="A108" s="39">
        <v>79</v>
      </c>
      <c r="B108" s="2" t="s">
        <v>276</v>
      </c>
      <c r="C108" s="3" t="s">
        <v>277</v>
      </c>
      <c r="D108" s="1" t="s">
        <v>278</v>
      </c>
      <c r="E108" s="1" t="s">
        <v>69</v>
      </c>
      <c r="F108" s="87" t="s">
        <v>449</v>
      </c>
      <c r="G108" s="43">
        <f>3.58*2+5.08*2+7.39*2+4.98*2+2.18+11.2+3.12+4.75+1.41+7.03*2+4.97*2 +7.2*2+ 7.37+3.85+4.97+4.01+5.08*2+3.63+6.02+4.98+1.42+1.42+5.13+0.621+1.88*2+3.07+5.12+2.42*2+1.6+7.45*2+9.27</f>
        <v>199.261</v>
      </c>
      <c r="H108" s="233">
        <f t="shared" ref="H108:H148" si="7">ROUND(1.05*G108,1)</f>
        <v>209.2</v>
      </c>
      <c r="I108" s="49"/>
      <c r="J108" s="27"/>
    </row>
    <row r="109" spans="1:10" s="4" customFormat="1" ht="69" x14ac:dyDescent="0.3">
      <c r="A109" s="39">
        <v>80</v>
      </c>
      <c r="B109" s="2" t="s">
        <v>279</v>
      </c>
      <c r="C109" s="3" t="s">
        <v>280</v>
      </c>
      <c r="D109" s="1" t="s">
        <v>281</v>
      </c>
      <c r="E109" s="1" t="s">
        <v>69</v>
      </c>
      <c r="F109" s="86" t="s">
        <v>418</v>
      </c>
      <c r="G109" s="43">
        <f>(3.58*2+5.08*2+4.98+7.38+4.55+1.61+1.07+4.98+2*3.12+11.14+9.9+4.97*2+7.03*2)*2 + (3.63*2+5.08*2+7.28+4.98+1.37*4+4.01+5.13+7.37+5.13+3.81+4.01+3.63+4.97+3.85+3.07+1.88+1.34)</f>
        <v>269.7</v>
      </c>
      <c r="H109" s="233">
        <f>ROUND(1.05*G109,-1)</f>
        <v>280</v>
      </c>
      <c r="I109" s="49"/>
      <c r="J109" s="27"/>
    </row>
    <row r="110" spans="1:10" s="4" customFormat="1" ht="27.6" x14ac:dyDescent="0.3">
      <c r="A110" s="39">
        <v>81</v>
      </c>
      <c r="B110" s="2" t="s">
        <v>362</v>
      </c>
      <c r="C110" s="3" t="s">
        <v>363</v>
      </c>
      <c r="D110" s="1" t="s">
        <v>364</v>
      </c>
      <c r="E110" s="1" t="s">
        <v>12</v>
      </c>
      <c r="F110" s="82" t="s">
        <v>419</v>
      </c>
      <c r="G110" s="41">
        <f>1.04+1.04+1.04+2.04*2+2.04+1.96+1.86+1.16+1.68+1.59  + 1.63+1.42*2+1.73+1.86+1.89+1.4*3+1.68+1.7+2.4</f>
        <v>37.42</v>
      </c>
      <c r="H110" s="233">
        <f t="shared" si="7"/>
        <v>39.299999999999997</v>
      </c>
      <c r="I110" s="49"/>
      <c r="J110" s="27"/>
    </row>
    <row r="111" spans="1:10" s="4" customFormat="1" ht="27.6" x14ac:dyDescent="0.3">
      <c r="A111" s="39">
        <v>82</v>
      </c>
      <c r="B111" s="2" t="s">
        <v>365</v>
      </c>
      <c r="C111" s="3" t="s">
        <v>366</v>
      </c>
      <c r="D111" s="1" t="s">
        <v>367</v>
      </c>
      <c r="E111" s="1" t="s">
        <v>12</v>
      </c>
      <c r="F111" s="83">
        <v>9</v>
      </c>
      <c r="G111" s="43">
        <v>9</v>
      </c>
      <c r="H111" s="233">
        <f t="shared" si="7"/>
        <v>9.5</v>
      </c>
      <c r="I111" s="49"/>
      <c r="J111" s="27"/>
    </row>
    <row r="112" spans="1:10" s="4" customFormat="1" ht="41.4" x14ac:dyDescent="0.3">
      <c r="A112" s="39">
        <v>83</v>
      </c>
      <c r="B112" s="2" t="s">
        <v>371</v>
      </c>
      <c r="C112" s="3" t="s">
        <v>372</v>
      </c>
      <c r="D112" s="1" t="s">
        <v>373</v>
      </c>
      <c r="E112" s="1" t="s">
        <v>12</v>
      </c>
      <c r="F112" s="89" t="s">
        <v>420</v>
      </c>
      <c r="G112" s="41">
        <f xml:space="preserve"> 3.6+2.2+2.2 + 2.76+2.86+2.38+2.16+2.04+1.51+1.65+2.2*2+1.98*2+1.82+2.08+3.36+1.85+ 2.53+3.08+4.44+9.22+9.22</f>
        <v>69.319999999999993</v>
      </c>
      <c r="H112" s="233">
        <f t="shared" si="7"/>
        <v>72.8</v>
      </c>
      <c r="I112" s="49"/>
      <c r="J112" s="27"/>
    </row>
    <row r="113" spans="1:10" s="4" customFormat="1" x14ac:dyDescent="0.3">
      <c r="A113" s="91"/>
      <c r="B113" s="52">
        <v>55</v>
      </c>
      <c r="C113" s="53" t="s">
        <v>282</v>
      </c>
      <c r="D113" s="54" t="s">
        <v>6</v>
      </c>
      <c r="E113" s="54" t="s">
        <v>6</v>
      </c>
      <c r="F113" s="96"/>
      <c r="G113" s="93"/>
      <c r="H113" s="233"/>
      <c r="I113" s="49"/>
      <c r="J113" s="27"/>
    </row>
    <row r="114" spans="1:10" s="4" customFormat="1" x14ac:dyDescent="0.3">
      <c r="A114" s="39">
        <v>84</v>
      </c>
      <c r="B114" s="2" t="s">
        <v>283</v>
      </c>
      <c r="C114" s="3" t="s">
        <v>284</v>
      </c>
      <c r="D114" s="1" t="s">
        <v>285</v>
      </c>
      <c r="E114" s="1" t="s">
        <v>56</v>
      </c>
      <c r="F114" s="88" t="s">
        <v>421</v>
      </c>
      <c r="G114" s="42">
        <v>4.8499999999999996</v>
      </c>
      <c r="H114" s="233">
        <f>ROUND(1*G114,2)</f>
        <v>4.8499999999999996</v>
      </c>
      <c r="I114" s="49"/>
      <c r="J114" s="27"/>
    </row>
    <row r="115" spans="1:10" s="4" customFormat="1" x14ac:dyDescent="0.3">
      <c r="A115" s="39"/>
      <c r="B115" s="2" t="s">
        <v>286</v>
      </c>
      <c r="C115" s="3" t="s">
        <v>287</v>
      </c>
      <c r="D115" s="1"/>
      <c r="E115" s="1" t="s">
        <v>6</v>
      </c>
      <c r="F115" s="90"/>
      <c r="G115" s="42"/>
      <c r="H115" s="233"/>
      <c r="I115" s="49"/>
      <c r="J115" s="27"/>
    </row>
    <row r="116" spans="1:10" s="4" customFormat="1" x14ac:dyDescent="0.3">
      <c r="A116" s="39">
        <v>85</v>
      </c>
      <c r="B116" s="2" t="s">
        <v>288</v>
      </c>
      <c r="C116" s="3" t="s">
        <v>284</v>
      </c>
      <c r="D116" s="1" t="s">
        <v>289</v>
      </c>
      <c r="E116" s="1" t="s">
        <v>56</v>
      </c>
      <c r="F116" s="88" t="s">
        <v>421</v>
      </c>
      <c r="G116" s="42">
        <v>4.8499999999999996</v>
      </c>
      <c r="H116" s="233">
        <f t="shared" ref="H116:H118" si="8">ROUND(1*G116,2)</f>
        <v>4.8499999999999996</v>
      </c>
      <c r="I116" s="49"/>
      <c r="J116" s="27"/>
    </row>
    <row r="117" spans="1:10" s="4" customFormat="1" x14ac:dyDescent="0.3">
      <c r="A117" s="39"/>
      <c r="B117" s="2" t="s">
        <v>290</v>
      </c>
      <c r="C117" s="3" t="s">
        <v>291</v>
      </c>
      <c r="D117" s="1"/>
      <c r="E117" s="1" t="s">
        <v>6</v>
      </c>
      <c r="F117" s="90"/>
      <c r="G117" s="42"/>
      <c r="H117" s="233"/>
      <c r="I117" s="49"/>
      <c r="J117" s="27"/>
    </row>
    <row r="118" spans="1:10" s="4" customFormat="1" x14ac:dyDescent="0.3">
      <c r="A118" s="39">
        <v>86</v>
      </c>
      <c r="B118" s="2" t="s">
        <v>292</v>
      </c>
      <c r="C118" s="3" t="s">
        <v>284</v>
      </c>
      <c r="D118" s="1" t="s">
        <v>293</v>
      </c>
      <c r="E118" s="1" t="s">
        <v>56</v>
      </c>
      <c r="F118" s="88" t="s">
        <v>421</v>
      </c>
      <c r="G118" s="42">
        <v>4.8499999999999996</v>
      </c>
      <c r="H118" s="233">
        <f t="shared" si="8"/>
        <v>4.8499999999999996</v>
      </c>
      <c r="I118" s="49"/>
      <c r="J118" s="27"/>
    </row>
    <row r="119" spans="1:10" s="4" customFormat="1" x14ac:dyDescent="0.3">
      <c r="A119" s="91"/>
      <c r="B119" s="52">
        <v>61</v>
      </c>
      <c r="C119" s="53" t="s">
        <v>294</v>
      </c>
      <c r="D119" s="97"/>
      <c r="E119" s="97"/>
      <c r="F119" s="97"/>
      <c r="G119" s="93"/>
      <c r="H119" s="233"/>
      <c r="I119" s="49"/>
      <c r="J119" s="27"/>
    </row>
    <row r="120" spans="1:10" s="4" customFormat="1" ht="96.6" x14ac:dyDescent="0.3">
      <c r="A120" s="39">
        <v>87</v>
      </c>
      <c r="B120" s="2" t="s">
        <v>295</v>
      </c>
      <c r="C120" s="3" t="s">
        <v>296</v>
      </c>
      <c r="D120" s="1" t="s">
        <v>297</v>
      </c>
      <c r="E120" s="1" t="s">
        <v>142</v>
      </c>
      <c r="F120" s="87" t="s">
        <v>1099</v>
      </c>
      <c r="G120" s="43">
        <f>2*((9+9)*11.2+19*3.52)*14.63+2*(5.08*10+11.2*2)*3.06+4*10.14*14.42+(6*2*1.6+12*2*2.23+12*1.6+6*1.6+6*1.58)*11.44+3.14*0.25*0.024^2*0.56*4*4*7850</f>
        <v>10190.22712576</v>
      </c>
      <c r="H120" s="233">
        <f>ROUND(1.05*G120,-1)</f>
        <v>10700</v>
      </c>
      <c r="I120" s="49"/>
      <c r="J120" s="27"/>
    </row>
    <row r="121" spans="1:10" s="4" customFormat="1" ht="23.25" customHeight="1" x14ac:dyDescent="0.3">
      <c r="A121" s="39">
        <v>88</v>
      </c>
      <c r="B121" s="2" t="s">
        <v>298</v>
      </c>
      <c r="C121" s="3" t="s">
        <v>299</v>
      </c>
      <c r="D121" s="1" t="s">
        <v>300</v>
      </c>
      <c r="E121" s="1" t="s">
        <v>56</v>
      </c>
      <c r="F121" s="88" t="s">
        <v>422</v>
      </c>
      <c r="G121" s="40">
        <f>2*3.45</f>
        <v>6.9</v>
      </c>
      <c r="H121" s="233">
        <f t="shared" si="7"/>
        <v>7.2</v>
      </c>
      <c r="I121" s="49"/>
      <c r="J121" s="27"/>
    </row>
    <row r="122" spans="1:10" s="4" customFormat="1" ht="20.25" customHeight="1" x14ac:dyDescent="0.3">
      <c r="A122" s="39">
        <v>89</v>
      </c>
      <c r="B122" s="2" t="s">
        <v>301</v>
      </c>
      <c r="C122" s="3" t="s">
        <v>302</v>
      </c>
      <c r="D122" s="1" t="s">
        <v>303</v>
      </c>
      <c r="E122" s="1" t="s">
        <v>56</v>
      </c>
      <c r="F122" s="88" t="s">
        <v>1100</v>
      </c>
      <c r="G122" s="40">
        <f>10*3 + 14*3.3 + 2*3.45</f>
        <v>83.1</v>
      </c>
      <c r="H122" s="233">
        <f t="shared" si="7"/>
        <v>87.3</v>
      </c>
      <c r="I122" s="49"/>
      <c r="J122" s="27"/>
    </row>
    <row r="123" spans="1:10" s="4" customFormat="1" x14ac:dyDescent="0.3">
      <c r="A123" s="91"/>
      <c r="B123" s="52">
        <v>62</v>
      </c>
      <c r="C123" s="53" t="s">
        <v>304</v>
      </c>
      <c r="D123" s="97"/>
      <c r="E123" s="97"/>
      <c r="F123" s="97"/>
      <c r="G123" s="93"/>
      <c r="H123" s="233"/>
      <c r="I123" s="49"/>
      <c r="J123" s="27"/>
    </row>
    <row r="124" spans="1:10" s="4" customFormat="1" ht="27.6" x14ac:dyDescent="0.3">
      <c r="A124" s="39">
        <v>90</v>
      </c>
      <c r="B124" s="2" t="s">
        <v>305</v>
      </c>
      <c r="C124" s="3" t="s">
        <v>306</v>
      </c>
      <c r="D124" s="1" t="s">
        <v>307</v>
      </c>
      <c r="E124" s="1" t="s">
        <v>12</v>
      </c>
      <c r="F124" s="83" t="s">
        <v>423</v>
      </c>
      <c r="G124" s="41">
        <f>(0.9+1.4+1+1.4+0.9)*2.1+4*0.9*2.2</f>
        <v>19.68</v>
      </c>
      <c r="H124" s="233">
        <f t="shared" si="7"/>
        <v>20.7</v>
      </c>
      <c r="I124" s="49"/>
      <c r="J124" s="27"/>
    </row>
    <row r="125" spans="1:10" s="4" customFormat="1" x14ac:dyDescent="0.3">
      <c r="A125" s="91"/>
      <c r="B125" s="52">
        <v>64</v>
      </c>
      <c r="C125" s="53" t="s">
        <v>308</v>
      </c>
      <c r="D125" s="97"/>
      <c r="E125" s="97"/>
      <c r="F125" s="97"/>
      <c r="G125" s="93"/>
      <c r="H125" s="233"/>
      <c r="I125" s="49"/>
      <c r="J125" s="27"/>
    </row>
    <row r="126" spans="1:10" s="4" customFormat="1" ht="27.6" x14ac:dyDescent="0.3">
      <c r="A126" s="39">
        <v>91</v>
      </c>
      <c r="B126" s="2" t="s">
        <v>309</v>
      </c>
      <c r="C126" s="3" t="s">
        <v>310</v>
      </c>
      <c r="D126" s="1" t="s">
        <v>311</v>
      </c>
      <c r="E126" s="1" t="s">
        <v>142</v>
      </c>
      <c r="F126" s="82" t="s">
        <v>1101</v>
      </c>
      <c r="G126" s="40">
        <f>( ((3.64+2*1)/0.1)*0.02^2*1  + ((2.2+1.9+1.77*2)/0.1)*0.02^2*1)*7850</f>
        <v>416.99200000000002</v>
      </c>
      <c r="H126" s="233">
        <f t="shared" si="7"/>
        <v>437.8</v>
      </c>
      <c r="I126" s="49"/>
      <c r="J126" s="27"/>
    </row>
    <row r="127" spans="1:10" s="4" customFormat="1" x14ac:dyDescent="0.3">
      <c r="A127" s="91"/>
      <c r="B127" s="52">
        <v>73</v>
      </c>
      <c r="C127" s="53" t="s">
        <v>312</v>
      </c>
      <c r="D127" s="97"/>
      <c r="E127" s="97"/>
      <c r="F127" s="97"/>
      <c r="G127" s="93"/>
      <c r="H127" s="233"/>
      <c r="I127" s="49"/>
      <c r="J127" s="27"/>
    </row>
    <row r="128" spans="1:10" s="229" customFormat="1" x14ac:dyDescent="0.3">
      <c r="A128" s="221">
        <v>92</v>
      </c>
      <c r="B128" s="222" t="s">
        <v>313</v>
      </c>
      <c r="C128" s="223" t="s">
        <v>314</v>
      </c>
      <c r="D128" s="224" t="s">
        <v>315</v>
      </c>
      <c r="E128" s="224" t="s">
        <v>12</v>
      </c>
      <c r="F128" s="230" t="s">
        <v>1125</v>
      </c>
      <c r="G128" s="226">
        <f xml:space="preserve"> (3.64+5.49)*9.28*0.5+(5.36+3.46)*1.1+5.55*1.1+180</f>
        <v>238.17020000000002</v>
      </c>
      <c r="H128" s="236">
        <f t="shared" si="7"/>
        <v>250.1</v>
      </c>
      <c r="I128" s="227"/>
      <c r="J128" s="228"/>
    </row>
    <row r="129" spans="1:11" s="4" customFormat="1" x14ac:dyDescent="0.3">
      <c r="A129" s="39">
        <v>93</v>
      </c>
      <c r="B129" s="2" t="s">
        <v>316</v>
      </c>
      <c r="C129" s="3" t="s">
        <v>317</v>
      </c>
      <c r="D129" s="1" t="s">
        <v>315</v>
      </c>
      <c r="E129" s="1" t="s">
        <v>69</v>
      </c>
      <c r="F129" s="84" t="s">
        <v>1102</v>
      </c>
      <c r="G129" s="41">
        <f>19*1.5</f>
        <v>28.5</v>
      </c>
      <c r="H129" s="233">
        <f t="shared" si="7"/>
        <v>29.9</v>
      </c>
      <c r="I129" s="49"/>
      <c r="J129" s="27"/>
    </row>
    <row r="130" spans="1:11" s="4" customFormat="1" ht="27.6" x14ac:dyDescent="0.3">
      <c r="A130" s="39">
        <v>94</v>
      </c>
      <c r="B130" s="2" t="s">
        <v>318</v>
      </c>
      <c r="C130" s="3" t="s">
        <v>319</v>
      </c>
      <c r="D130" s="1" t="s">
        <v>320</v>
      </c>
      <c r="E130" s="1" t="s">
        <v>12</v>
      </c>
      <c r="F130" s="87" t="s">
        <v>424</v>
      </c>
      <c r="G130" s="42">
        <f>3.78*1.26+1.39*0.5+1.81*1*2 +3.78*1.26+1.39*0.5+1.81*1*2+3.08*1.68</f>
        <v>23.33</v>
      </c>
      <c r="H130" s="233">
        <f t="shared" si="7"/>
        <v>24.5</v>
      </c>
      <c r="I130" s="49"/>
      <c r="J130" s="27"/>
    </row>
    <row r="131" spans="1:11" s="4" customFormat="1" ht="55.2" x14ac:dyDescent="0.3">
      <c r="A131" s="39">
        <v>95</v>
      </c>
      <c r="B131" s="2" t="s">
        <v>321</v>
      </c>
      <c r="C131" s="3" t="s">
        <v>322</v>
      </c>
      <c r="D131" s="1" t="s">
        <v>323</v>
      </c>
      <c r="E131" s="1" t="s">
        <v>12</v>
      </c>
      <c r="F131" s="87" t="s">
        <v>425</v>
      </c>
      <c r="G131" s="43">
        <f>(5.57+2.07+1.81+0.17+0.23+0.33+0.52)*2.95+1.88*1.95 + (5.57+2.07+1.81+0.17+0.23+0.33+0.52)*2.95+1.88*1.95+(1.68+3.08+1.5+2.1)*2.95</f>
        <v>95.123999999999995</v>
      </c>
      <c r="H131" s="233">
        <f t="shared" si="7"/>
        <v>99.9</v>
      </c>
      <c r="I131" s="49"/>
      <c r="J131" s="27"/>
    </row>
    <row r="132" spans="1:11" s="4" customFormat="1" x14ac:dyDescent="0.3">
      <c r="A132" s="39">
        <v>96</v>
      </c>
      <c r="B132" s="2" t="s">
        <v>324</v>
      </c>
      <c r="C132" s="3" t="s">
        <v>325</v>
      </c>
      <c r="D132" s="1" t="s">
        <v>326</v>
      </c>
      <c r="E132" s="1" t="s">
        <v>69</v>
      </c>
      <c r="F132" s="88" t="s">
        <v>426</v>
      </c>
      <c r="G132" s="40">
        <f>15.88+12.89+12.56+15.77</f>
        <v>57.100000000000009</v>
      </c>
      <c r="H132" s="233">
        <f t="shared" si="7"/>
        <v>60</v>
      </c>
      <c r="I132" s="49"/>
      <c r="J132" s="27"/>
    </row>
    <row r="133" spans="1:11" s="4" customFormat="1" x14ac:dyDescent="0.3">
      <c r="A133" s="91"/>
      <c r="B133" s="98"/>
      <c r="C133" s="53" t="s">
        <v>377</v>
      </c>
      <c r="D133" s="54"/>
      <c r="E133" s="54"/>
      <c r="F133" s="96"/>
      <c r="G133" s="99"/>
      <c r="H133" s="233"/>
      <c r="I133" s="49"/>
      <c r="J133" s="27"/>
    </row>
    <row r="134" spans="1:11" s="4" customFormat="1" ht="27.75" customHeight="1" x14ac:dyDescent="0.3">
      <c r="A134" s="39">
        <v>97</v>
      </c>
      <c r="B134" s="2" t="s">
        <v>327</v>
      </c>
      <c r="C134" s="3" t="s">
        <v>328</v>
      </c>
      <c r="D134" s="1" t="s">
        <v>329</v>
      </c>
      <c r="E134" s="1" t="s">
        <v>12</v>
      </c>
      <c r="F134" s="83" t="s">
        <v>427</v>
      </c>
      <c r="G134" s="40">
        <f xml:space="preserve"> (1.1*2+0.8)*0.3 + (1.74+1.17)*0.3 + 1.74*0.3</f>
        <v>2.2949999999999999</v>
      </c>
      <c r="H134" s="233">
        <f t="shared" si="7"/>
        <v>2.4</v>
      </c>
      <c r="I134" s="49"/>
      <c r="J134" s="11"/>
      <c r="K134" s="12" t="s">
        <v>6</v>
      </c>
    </row>
    <row r="135" spans="1:11" s="4" customFormat="1" ht="25.5" customHeight="1" x14ac:dyDescent="0.3">
      <c r="A135" s="39"/>
      <c r="B135" s="2" t="s">
        <v>330</v>
      </c>
      <c r="C135" s="38" t="s">
        <v>331</v>
      </c>
      <c r="D135" s="74"/>
      <c r="E135" s="74"/>
      <c r="F135" s="85"/>
      <c r="G135" s="85"/>
      <c r="H135" s="233">
        <f t="shared" si="7"/>
        <v>0</v>
      </c>
      <c r="I135" s="49"/>
      <c r="J135" s="27"/>
    </row>
    <row r="136" spans="1:11" s="4" customFormat="1" ht="96.6" x14ac:dyDescent="0.3">
      <c r="A136" s="39">
        <v>98</v>
      </c>
      <c r="B136" s="2" t="s">
        <v>332</v>
      </c>
      <c r="C136" s="3" t="s">
        <v>333</v>
      </c>
      <c r="D136" s="1" t="s">
        <v>334</v>
      </c>
      <c r="E136" s="1" t="s">
        <v>12</v>
      </c>
      <c r="F136" s="82" t="s">
        <v>1105</v>
      </c>
      <c r="G136" s="43">
        <f xml:space="preserve"> 1.4*0.69*2 + 0.75*0.38*2+0.75*0.32+0.9*0.8+0.75*1.1*3+0.75*1.06*2+0.75*(0.66+0.96+0.91) + 0.75*0.38*2+0.75*0.32+0.9*0.8+0.75*1.1*3+0.75*1.06*2+0.75*(0.66+0.96+0.91)</f>
        <v>16.917000000000002</v>
      </c>
      <c r="H136" s="233">
        <f t="shared" si="7"/>
        <v>17.8</v>
      </c>
      <c r="I136" s="49"/>
      <c r="J136" s="27"/>
    </row>
    <row r="137" spans="1:11" s="4" customFormat="1" x14ac:dyDescent="0.3">
      <c r="A137" s="91"/>
      <c r="B137" s="52">
        <v>76</v>
      </c>
      <c r="C137" s="53" t="s">
        <v>441</v>
      </c>
      <c r="D137" s="53"/>
      <c r="E137" s="53"/>
      <c r="F137" s="100"/>
      <c r="G137" s="101"/>
      <c r="H137" s="233"/>
      <c r="I137" s="49"/>
      <c r="J137" s="27"/>
    </row>
    <row r="138" spans="1:11" s="4" customFormat="1" ht="29.25" customHeight="1" x14ac:dyDescent="0.3">
      <c r="A138" s="39">
        <v>99</v>
      </c>
      <c r="B138" s="7" t="s">
        <v>368</v>
      </c>
      <c r="C138" s="3" t="s">
        <v>369</v>
      </c>
      <c r="D138" s="1" t="s">
        <v>370</v>
      </c>
      <c r="E138" s="1" t="s">
        <v>12</v>
      </c>
      <c r="F138" s="41" t="s">
        <v>428</v>
      </c>
      <c r="G138" s="43">
        <f>0.8*46.42</f>
        <v>37.136000000000003</v>
      </c>
      <c r="H138" s="233">
        <f t="shared" si="7"/>
        <v>39</v>
      </c>
      <c r="I138" s="49"/>
      <c r="J138" s="27"/>
    </row>
    <row r="139" spans="1:11" s="4" customFormat="1" x14ac:dyDescent="0.3">
      <c r="A139" s="91"/>
      <c r="B139" s="52">
        <v>79</v>
      </c>
      <c r="C139" s="53" t="s">
        <v>335</v>
      </c>
      <c r="D139" s="54" t="s">
        <v>6</v>
      </c>
      <c r="E139" s="54" t="s">
        <v>6</v>
      </c>
      <c r="F139" s="96"/>
      <c r="G139" s="93"/>
      <c r="H139" s="233"/>
      <c r="I139" s="49"/>
      <c r="J139" s="27"/>
    </row>
    <row r="140" spans="1:11" s="229" customFormat="1" ht="82.8" x14ac:dyDescent="0.3">
      <c r="A140" s="221">
        <v>100</v>
      </c>
      <c r="B140" s="222" t="s">
        <v>336</v>
      </c>
      <c r="C140" s="223" t="s">
        <v>337</v>
      </c>
      <c r="D140" s="224" t="s">
        <v>338</v>
      </c>
      <c r="E140" s="224" t="s">
        <v>12</v>
      </c>
      <c r="F140" s="231" t="s">
        <v>1106</v>
      </c>
      <c r="G140" s="226">
        <f xml:space="preserve">  205.924 + 315.768 +134.097 + 12.56*1.4*2+15.77*1.4*2+12.89*1.4*2+15.88*1.4*2+5.01*1.4*2*2+11.14*1.4*2*2+5*1.4*2+5*1.4*2+14.19*17.48-(1.88*3.51+1.37*3.44+0.56*1.47+1.76*3.41+5.43*3.37+3.37*1.95)</f>
        <v>1139.1432</v>
      </c>
      <c r="H140" s="236">
        <f>ROUND(1.05*G140,0)</f>
        <v>1196</v>
      </c>
      <c r="I140" s="227"/>
      <c r="J140" s="228"/>
    </row>
    <row r="141" spans="1:11" s="4" customFormat="1" x14ac:dyDescent="0.3">
      <c r="A141" s="39">
        <v>101</v>
      </c>
      <c r="B141" s="2" t="s">
        <v>339</v>
      </c>
      <c r="C141" s="3" t="s">
        <v>340</v>
      </c>
      <c r="D141" s="1" t="s">
        <v>341</v>
      </c>
      <c r="E141" s="1" t="s">
        <v>12</v>
      </c>
      <c r="F141" s="88" t="s">
        <v>429</v>
      </c>
      <c r="G141" s="43">
        <f>16.46*13.49</f>
        <v>222.04540000000003</v>
      </c>
      <c r="H141" s="236">
        <f t="shared" ref="H141:H143" si="9">ROUND(1.05*G141,0)</f>
        <v>233</v>
      </c>
      <c r="I141" s="49"/>
      <c r="J141" s="27"/>
    </row>
    <row r="142" spans="1:11" s="4" customFormat="1" x14ac:dyDescent="0.3">
      <c r="A142" s="39">
        <v>102</v>
      </c>
      <c r="B142" s="2" t="s">
        <v>342</v>
      </c>
      <c r="C142" s="3" t="s">
        <v>343</v>
      </c>
      <c r="D142" s="1" t="s">
        <v>344</v>
      </c>
      <c r="E142" s="1" t="s">
        <v>142</v>
      </c>
      <c r="F142" s="88" t="s">
        <v>450</v>
      </c>
      <c r="G142" s="40">
        <f>(270.51+51.69+2.33)*1.85</f>
        <v>600.38049999999998</v>
      </c>
      <c r="H142" s="236">
        <f t="shared" si="9"/>
        <v>630</v>
      </c>
      <c r="I142" s="49"/>
      <c r="J142" s="27"/>
    </row>
    <row r="143" spans="1:11" s="4" customFormat="1" x14ac:dyDescent="0.3">
      <c r="A143" s="39">
        <v>103</v>
      </c>
      <c r="B143" s="2" t="s">
        <v>345</v>
      </c>
      <c r="C143" s="3" t="s">
        <v>346</v>
      </c>
      <c r="D143" s="1" t="s">
        <v>347</v>
      </c>
      <c r="E143" s="1" t="s">
        <v>142</v>
      </c>
      <c r="F143" s="88" t="s">
        <v>451</v>
      </c>
      <c r="G143" s="40">
        <f>(270.51+51.69+2.33)*1.85</f>
        <v>600.38049999999998</v>
      </c>
      <c r="H143" s="236">
        <f t="shared" si="9"/>
        <v>630</v>
      </c>
      <c r="I143" s="49"/>
      <c r="J143" s="27"/>
    </row>
    <row r="144" spans="1:11" s="4" customFormat="1" x14ac:dyDescent="0.3">
      <c r="A144" s="39">
        <v>104</v>
      </c>
      <c r="B144" s="2" t="s">
        <v>348</v>
      </c>
      <c r="C144" s="3" t="s">
        <v>349</v>
      </c>
      <c r="D144" s="1" t="s">
        <v>350</v>
      </c>
      <c r="E144" s="1" t="s">
        <v>12</v>
      </c>
      <c r="F144" s="81" t="s">
        <v>430</v>
      </c>
      <c r="G144" s="43">
        <f>3.45*(5.2+2.48) + 2*(0.8+0.69*0.28)*2*3.45</f>
        <v>40.202159999999999</v>
      </c>
      <c r="H144" s="233">
        <f t="shared" si="7"/>
        <v>42.2</v>
      </c>
      <c r="I144" s="49"/>
      <c r="J144" s="27"/>
    </row>
    <row r="145" spans="1:10" s="4" customFormat="1" x14ac:dyDescent="0.3">
      <c r="A145" s="91"/>
      <c r="B145" s="52" t="s">
        <v>351</v>
      </c>
      <c r="C145" s="60" t="s">
        <v>352</v>
      </c>
      <c r="D145" s="61" t="s">
        <v>6</v>
      </c>
      <c r="E145" s="61" t="s">
        <v>6</v>
      </c>
      <c r="F145" s="102"/>
      <c r="G145" s="103"/>
      <c r="H145" s="233">
        <f t="shared" si="7"/>
        <v>0</v>
      </c>
      <c r="I145" s="49"/>
      <c r="J145" s="27"/>
    </row>
    <row r="146" spans="1:10" s="4" customFormat="1" x14ac:dyDescent="0.3">
      <c r="A146" s="39">
        <v>105</v>
      </c>
      <c r="B146" s="2" t="s">
        <v>353</v>
      </c>
      <c r="C146" s="3" t="s">
        <v>354</v>
      </c>
      <c r="D146" s="1" t="s">
        <v>355</v>
      </c>
      <c r="E146" s="1" t="s">
        <v>101</v>
      </c>
      <c r="F146" s="81">
        <v>4</v>
      </c>
      <c r="G146" s="40">
        <v>4</v>
      </c>
      <c r="H146" s="233">
        <f t="shared" si="7"/>
        <v>4.2</v>
      </c>
      <c r="I146" s="49"/>
      <c r="J146" s="27"/>
    </row>
    <row r="147" spans="1:10" s="4" customFormat="1" x14ac:dyDescent="0.3">
      <c r="A147" s="39">
        <v>106</v>
      </c>
      <c r="B147" s="2" t="s">
        <v>356</v>
      </c>
      <c r="C147" s="3" t="s">
        <v>357</v>
      </c>
      <c r="D147" s="1" t="s">
        <v>358</v>
      </c>
      <c r="E147" s="1" t="s">
        <v>69</v>
      </c>
      <c r="F147" s="81" t="s">
        <v>381</v>
      </c>
      <c r="G147" s="40">
        <f>15.88+12.89+12.56+15.77</f>
        <v>57.100000000000009</v>
      </c>
      <c r="H147" s="233">
        <f t="shared" si="7"/>
        <v>60</v>
      </c>
      <c r="I147" s="49"/>
      <c r="J147" s="27"/>
    </row>
    <row r="148" spans="1:10" s="4" customFormat="1" ht="25.5" customHeight="1" x14ac:dyDescent="0.3">
      <c r="A148" s="39">
        <v>107</v>
      </c>
      <c r="B148" s="2" t="s">
        <v>359</v>
      </c>
      <c r="C148" s="3" t="s">
        <v>360</v>
      </c>
      <c r="D148" s="1" t="s">
        <v>361</v>
      </c>
      <c r="E148" s="1" t="s">
        <v>69</v>
      </c>
      <c r="F148" s="81" t="s">
        <v>431</v>
      </c>
      <c r="G148" s="42">
        <f>7.32+9.74+9.74+7.26</f>
        <v>34.06</v>
      </c>
      <c r="H148" s="233">
        <f t="shared" si="7"/>
        <v>35.799999999999997</v>
      </c>
      <c r="I148" s="49"/>
      <c r="J148" s="27"/>
    </row>
    <row r="149" spans="1:10" s="4" customFormat="1" ht="15.6" x14ac:dyDescent="0.3">
      <c r="B149" s="72"/>
      <c r="C149" s="72"/>
      <c r="D149" s="72"/>
      <c r="E149" s="72"/>
      <c r="F149" s="72"/>
      <c r="G149" s="30"/>
      <c r="H149" s="30"/>
      <c r="I149" s="29"/>
      <c r="J149" s="27"/>
    </row>
    <row r="150" spans="1:10" s="4" customFormat="1" ht="15.6" x14ac:dyDescent="0.3">
      <c r="B150" s="72"/>
      <c r="C150" s="72"/>
      <c r="D150" s="72"/>
      <c r="E150" s="72"/>
      <c r="F150" s="72"/>
      <c r="G150" s="105"/>
      <c r="H150" s="105"/>
      <c r="I150" s="29"/>
      <c r="J150" s="27"/>
    </row>
    <row r="151" spans="1:10" s="4" customFormat="1" ht="15.6" x14ac:dyDescent="0.3">
      <c r="B151" s="72"/>
      <c r="C151" s="72"/>
      <c r="D151" s="72"/>
      <c r="E151" s="72"/>
      <c r="F151" s="72"/>
      <c r="G151" s="30"/>
      <c r="H151" s="30"/>
      <c r="I151" s="29"/>
      <c r="J151" s="27"/>
    </row>
    <row r="152" spans="1:10" ht="15.6" x14ac:dyDescent="0.3">
      <c r="B152" s="13"/>
      <c r="C152" s="13"/>
      <c r="D152" s="13"/>
      <c r="E152" s="13"/>
      <c r="F152" s="13"/>
      <c r="G152" s="31"/>
      <c r="H152" s="31"/>
      <c r="I152" s="29"/>
      <c r="J152" s="26"/>
    </row>
    <row r="153" spans="1:10" ht="15.6" x14ac:dyDescent="0.3">
      <c r="B153" s="13"/>
      <c r="C153" s="13"/>
      <c r="D153" s="13"/>
      <c r="E153" s="13"/>
      <c r="F153" s="13"/>
      <c r="G153" s="31"/>
      <c r="H153" s="31"/>
      <c r="I153" s="29"/>
      <c r="J153" s="26"/>
    </row>
    <row r="154" spans="1:10" ht="15.6" x14ac:dyDescent="0.3">
      <c r="B154" s="13"/>
      <c r="C154" s="13"/>
      <c r="D154" s="13"/>
      <c r="E154" s="14"/>
      <c r="F154" s="14"/>
      <c r="G154" s="31"/>
      <c r="H154" s="31"/>
      <c r="I154" s="29"/>
      <c r="J154" s="26"/>
    </row>
    <row r="155" spans="1:10" ht="15.6" x14ac:dyDescent="0.3">
      <c r="B155" s="13"/>
      <c r="C155" s="13"/>
      <c r="D155" s="13"/>
      <c r="E155" s="14"/>
      <c r="F155" s="14"/>
      <c r="G155" s="31"/>
      <c r="H155" s="31"/>
      <c r="I155" s="29"/>
    </row>
    <row r="156" spans="1:10" ht="15.6" x14ac:dyDescent="0.3">
      <c r="B156" s="13"/>
      <c r="C156" s="13"/>
      <c r="D156" s="13"/>
      <c r="E156" s="13"/>
      <c r="F156" s="13"/>
      <c r="G156" s="44"/>
      <c r="H156" s="220"/>
      <c r="I156" s="29"/>
    </row>
    <row r="157" spans="1:10" ht="15.6" x14ac:dyDescent="0.3">
      <c r="B157" s="13"/>
      <c r="C157" s="13"/>
      <c r="D157" s="13"/>
      <c r="E157" s="13"/>
      <c r="F157" s="13"/>
      <c r="G157" s="33"/>
      <c r="H157" s="33"/>
      <c r="I157" s="32"/>
    </row>
  </sheetData>
  <mergeCells count="9">
    <mergeCell ref="F1:H1"/>
    <mergeCell ref="A5:A6"/>
    <mergeCell ref="I5:I6"/>
    <mergeCell ref="G5:G6"/>
    <mergeCell ref="B5:B6"/>
    <mergeCell ref="C5:C6"/>
    <mergeCell ref="D5:D6"/>
    <mergeCell ref="E5:E6"/>
    <mergeCell ref="H5:H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&amp;C&amp;A&amp;R&amp;P/&amp;N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6"/>
  <sheetViews>
    <sheetView view="pageBreakPreview" zoomScale="60" zoomScaleNormal="90" workbookViewId="0">
      <selection sqref="A1:A2"/>
    </sheetView>
  </sheetViews>
  <sheetFormatPr defaultRowHeight="14.4" x14ac:dyDescent="0.3"/>
  <cols>
    <col min="1" max="1" width="6.6640625" customWidth="1"/>
    <col min="2" max="2" width="11.33203125" customWidth="1"/>
    <col min="3" max="3" width="68" customWidth="1"/>
    <col min="4" max="4" width="12.6640625" customWidth="1"/>
    <col min="5" max="5" width="10.5546875" customWidth="1"/>
    <col min="6" max="6" width="10.44140625" customWidth="1"/>
    <col min="7" max="7" width="33.109375" style="15" customWidth="1"/>
    <col min="8" max="8" width="15.44140625" style="16" bestFit="1" customWidth="1"/>
  </cols>
  <sheetData>
    <row r="1" spans="1:9" ht="15" customHeight="1" x14ac:dyDescent="0.3">
      <c r="A1" s="504" t="s">
        <v>379</v>
      </c>
      <c r="B1" s="509" t="s">
        <v>0</v>
      </c>
      <c r="C1" s="511" t="s">
        <v>1</v>
      </c>
      <c r="D1" s="511" t="s">
        <v>2</v>
      </c>
      <c r="E1" s="511" t="s">
        <v>3</v>
      </c>
      <c r="F1" s="508" t="s">
        <v>4</v>
      </c>
      <c r="G1" s="506"/>
      <c r="H1" s="507"/>
      <c r="I1" s="26"/>
    </row>
    <row r="2" spans="1:9" ht="19.5" customHeight="1" x14ac:dyDescent="0.3">
      <c r="A2" s="504"/>
      <c r="B2" s="510"/>
      <c r="C2" s="512"/>
      <c r="D2" s="512"/>
      <c r="E2" s="512"/>
      <c r="F2" s="508"/>
      <c r="G2" s="506"/>
      <c r="H2" s="507"/>
      <c r="I2" s="26"/>
    </row>
    <row r="3" spans="1:9" x14ac:dyDescent="0.3">
      <c r="A3" s="51"/>
      <c r="B3" s="52">
        <v>20</v>
      </c>
      <c r="C3" s="53" t="s">
        <v>5</v>
      </c>
      <c r="D3" s="54" t="s">
        <v>6</v>
      </c>
      <c r="E3" s="55" t="s">
        <v>6</v>
      </c>
      <c r="F3" s="56"/>
      <c r="G3" s="18"/>
      <c r="H3" s="24"/>
      <c r="I3" s="26"/>
    </row>
    <row r="4" spans="1:9" x14ac:dyDescent="0.3">
      <c r="A4" s="45"/>
      <c r="B4" s="9" t="s">
        <v>7</v>
      </c>
      <c r="C4" s="6" t="s">
        <v>8</v>
      </c>
      <c r="D4" s="1" t="s">
        <v>6</v>
      </c>
      <c r="E4" s="1" t="s">
        <v>6</v>
      </c>
      <c r="F4" s="69"/>
      <c r="G4" s="19"/>
      <c r="H4" s="25"/>
      <c r="I4" s="26"/>
    </row>
    <row r="5" spans="1:9" x14ac:dyDescent="0.3">
      <c r="A5" s="45">
        <v>1</v>
      </c>
      <c r="B5" s="2" t="s">
        <v>9</v>
      </c>
      <c r="C5" s="3" t="s">
        <v>10</v>
      </c>
      <c r="D5" s="1" t="s">
        <v>11</v>
      </c>
      <c r="E5" s="1" t="s">
        <v>12</v>
      </c>
      <c r="F5" s="46">
        <f>ΑΝΑΛ.ΠΡΟΜ.OIK!G10</f>
        <v>156.21800000000002</v>
      </c>
      <c r="G5" s="20"/>
      <c r="H5" s="23"/>
      <c r="I5" s="26"/>
    </row>
    <row r="6" spans="1:9" x14ac:dyDescent="0.3">
      <c r="A6" s="45">
        <v>2</v>
      </c>
      <c r="B6" s="2" t="s">
        <v>13</v>
      </c>
      <c r="C6" s="3" t="s">
        <v>14</v>
      </c>
      <c r="D6" s="1" t="s">
        <v>11</v>
      </c>
      <c r="E6" s="1" t="s">
        <v>12</v>
      </c>
      <c r="F6" s="46">
        <f>ΑΝΑΛ.ΠΡΟΜ.OIK!G11</f>
        <v>78.109000000000009</v>
      </c>
      <c r="G6" s="20"/>
      <c r="H6" s="23"/>
      <c r="I6" s="26"/>
    </row>
    <row r="7" spans="1:9" ht="27.6" x14ac:dyDescent="0.3">
      <c r="A7" s="45"/>
      <c r="B7" s="9" t="s">
        <v>17</v>
      </c>
      <c r="C7" s="6" t="s">
        <v>18</v>
      </c>
      <c r="D7" s="1"/>
      <c r="E7" s="1" t="s">
        <v>6</v>
      </c>
      <c r="F7" s="46"/>
      <c r="G7" s="20"/>
      <c r="H7" s="23"/>
      <c r="I7" s="26"/>
    </row>
    <row r="8" spans="1:9" x14ac:dyDescent="0.3">
      <c r="A8" s="45">
        <v>3</v>
      </c>
      <c r="B8" s="2" t="s">
        <v>19</v>
      </c>
      <c r="C8" s="3" t="s">
        <v>15</v>
      </c>
      <c r="D8" s="1" t="s">
        <v>20</v>
      </c>
      <c r="E8" s="1" t="s">
        <v>16</v>
      </c>
      <c r="F8" s="46">
        <f>ΑΝΑΛ.ΠΡΟΜ.OIK!G16</f>
        <v>70.298099999999991</v>
      </c>
      <c r="G8" s="20"/>
      <c r="H8" s="23"/>
      <c r="I8" s="26"/>
    </row>
    <row r="9" spans="1:9" s="4" customFormat="1" x14ac:dyDescent="0.3">
      <c r="A9" s="45">
        <v>4</v>
      </c>
      <c r="B9" s="2" t="s">
        <v>21</v>
      </c>
      <c r="C9" s="3" t="s">
        <v>22</v>
      </c>
      <c r="D9" s="1" t="s">
        <v>23</v>
      </c>
      <c r="E9" s="1" t="s">
        <v>16</v>
      </c>
      <c r="F9" s="46">
        <f>ΑΝΑΛ.ΠΡΟΜ.OIK!G17</f>
        <v>164.02889999999999</v>
      </c>
      <c r="G9" s="20"/>
      <c r="H9" s="23"/>
      <c r="I9" s="27"/>
    </row>
    <row r="10" spans="1:9" x14ac:dyDescent="0.3">
      <c r="A10" s="45"/>
      <c r="B10" s="9" t="s">
        <v>24</v>
      </c>
      <c r="C10" s="6" t="s">
        <v>25</v>
      </c>
      <c r="D10" s="1"/>
      <c r="E10" s="1" t="s">
        <v>6</v>
      </c>
      <c r="F10" s="46"/>
      <c r="G10" s="20"/>
      <c r="H10" s="23"/>
      <c r="I10" s="26"/>
    </row>
    <row r="11" spans="1:9" x14ac:dyDescent="0.3">
      <c r="A11" s="45">
        <v>5</v>
      </c>
      <c r="B11" s="2" t="s">
        <v>26</v>
      </c>
      <c r="C11" s="3" t="s">
        <v>27</v>
      </c>
      <c r="D11" s="1" t="s">
        <v>28</v>
      </c>
      <c r="E11" s="1" t="s">
        <v>16</v>
      </c>
      <c r="F11" s="46" t="e">
        <f>ΑΝΑΛ.ΠΡΟΜ.OIK!#REF!</f>
        <v>#REF!</v>
      </c>
      <c r="G11" s="20"/>
      <c r="H11" s="23"/>
      <c r="I11" s="26"/>
    </row>
    <row r="12" spans="1:9" x14ac:dyDescent="0.3">
      <c r="A12" s="45">
        <v>6</v>
      </c>
      <c r="B12" s="2" t="s">
        <v>29</v>
      </c>
      <c r="C12" s="3" t="s">
        <v>30</v>
      </c>
      <c r="D12" s="1" t="s">
        <v>31</v>
      </c>
      <c r="E12" s="1" t="s">
        <v>16</v>
      </c>
      <c r="F12" s="46">
        <f>ΑΝΑΛ.ΠΡΟΜ.OIK!G18</f>
        <v>205.101</v>
      </c>
      <c r="G12" s="20"/>
      <c r="H12" s="23"/>
      <c r="I12" s="26"/>
    </row>
    <row r="13" spans="1:9" x14ac:dyDescent="0.3">
      <c r="A13" s="45"/>
      <c r="B13" s="9" t="s">
        <v>32</v>
      </c>
      <c r="C13" s="6" t="s">
        <v>33</v>
      </c>
      <c r="D13" s="1"/>
      <c r="E13" s="1" t="s">
        <v>6</v>
      </c>
      <c r="F13" s="46"/>
      <c r="G13" s="20"/>
      <c r="H13" s="23"/>
      <c r="I13" s="26"/>
    </row>
    <row r="14" spans="1:9" x14ac:dyDescent="0.3">
      <c r="A14" s="45">
        <v>7</v>
      </c>
      <c r="B14" s="2" t="s">
        <v>34</v>
      </c>
      <c r="C14" s="3" t="s">
        <v>35</v>
      </c>
      <c r="D14" s="1" t="s">
        <v>36</v>
      </c>
      <c r="E14" s="1" t="s">
        <v>16</v>
      </c>
      <c r="F14" s="46">
        <f>ΑΝΑΛ.ΠΡΟΜ.OIK!G19</f>
        <v>3.3600000000000003</v>
      </c>
      <c r="G14" s="20"/>
      <c r="H14" s="23"/>
      <c r="I14" s="26"/>
    </row>
    <row r="15" spans="1:9" x14ac:dyDescent="0.3">
      <c r="A15" s="45">
        <v>8</v>
      </c>
      <c r="B15" s="2" t="s">
        <v>374</v>
      </c>
      <c r="C15" s="3" t="s">
        <v>375</v>
      </c>
      <c r="D15" s="1" t="s">
        <v>376</v>
      </c>
      <c r="E15" s="1" t="s">
        <v>16</v>
      </c>
      <c r="F15" s="46">
        <f>ΑΝΑΛ.ΠΡΟΜ.OIK!G20</f>
        <v>76.589399999999998</v>
      </c>
      <c r="G15" s="20"/>
      <c r="H15" s="23"/>
      <c r="I15" s="26"/>
    </row>
    <row r="16" spans="1:9" x14ac:dyDescent="0.3">
      <c r="A16" s="45">
        <v>9</v>
      </c>
      <c r="B16" s="2" t="s">
        <v>37</v>
      </c>
      <c r="C16" s="3" t="s">
        <v>38</v>
      </c>
      <c r="D16" s="1" t="s">
        <v>39</v>
      </c>
      <c r="E16" s="1" t="s">
        <v>16</v>
      </c>
      <c r="F16" s="46">
        <f>ΑΝΑΛ.ΠΡΟΜ.OIK!G21</f>
        <v>344.86349999999999</v>
      </c>
      <c r="G16" s="20"/>
      <c r="H16" s="23"/>
      <c r="I16" s="26"/>
    </row>
    <row r="17" spans="1:9" x14ac:dyDescent="0.3">
      <c r="A17" s="45">
        <v>10</v>
      </c>
      <c r="B17" s="2" t="s">
        <v>40</v>
      </c>
      <c r="C17" s="3" t="s">
        <v>41</v>
      </c>
      <c r="D17" s="1" t="s">
        <v>42</v>
      </c>
      <c r="E17" s="1" t="s">
        <v>43</v>
      </c>
      <c r="F17" s="46">
        <f>ΑΝΑΛ.ΠΡΟΜ.OIK!G22</f>
        <v>724.21334999999999</v>
      </c>
      <c r="G17" s="20"/>
      <c r="H17" s="23"/>
      <c r="I17" s="26"/>
    </row>
    <row r="18" spans="1:9" x14ac:dyDescent="0.3">
      <c r="A18" s="51"/>
      <c r="B18" s="52">
        <v>21</v>
      </c>
      <c r="C18" s="53" t="s">
        <v>44</v>
      </c>
      <c r="D18" s="58"/>
      <c r="E18" s="58"/>
      <c r="F18" s="75"/>
      <c r="G18" s="20"/>
      <c r="H18" s="23"/>
      <c r="I18" s="26"/>
    </row>
    <row r="19" spans="1:9" x14ac:dyDescent="0.3">
      <c r="A19" s="45"/>
      <c r="B19" s="9" t="s">
        <v>45</v>
      </c>
      <c r="C19" s="6" t="s">
        <v>46</v>
      </c>
      <c r="D19" s="50"/>
      <c r="E19" s="50"/>
      <c r="F19" s="46"/>
      <c r="G19" s="20"/>
      <c r="H19" s="23"/>
      <c r="I19" s="26"/>
    </row>
    <row r="20" spans="1:9" s="4" customFormat="1" x14ac:dyDescent="0.3">
      <c r="A20" s="45">
        <v>11</v>
      </c>
      <c r="B20" s="2" t="s">
        <v>47</v>
      </c>
      <c r="C20" s="3" t="s">
        <v>48</v>
      </c>
      <c r="D20" s="1" t="s">
        <v>49</v>
      </c>
      <c r="E20" s="1" t="s">
        <v>50</v>
      </c>
      <c r="F20" s="46">
        <f>ΑΝΑΛ.ΠΡΟΜ.OIK!G25</f>
        <v>1040</v>
      </c>
      <c r="G20" s="20"/>
      <c r="H20" s="23"/>
      <c r="I20" s="27"/>
    </row>
    <row r="21" spans="1:9" ht="27.6" x14ac:dyDescent="0.3">
      <c r="A21" s="45"/>
      <c r="B21" s="9" t="s">
        <v>51</v>
      </c>
      <c r="C21" s="6" t="s">
        <v>52</v>
      </c>
      <c r="D21" s="50"/>
      <c r="E21" s="50"/>
      <c r="F21" s="46"/>
      <c r="G21" s="20"/>
      <c r="H21" s="23"/>
      <c r="I21" s="26"/>
    </row>
    <row r="22" spans="1:9" s="4" customFormat="1" x14ac:dyDescent="0.3">
      <c r="A22" s="45">
        <v>12</v>
      </c>
      <c r="B22" s="2" t="s">
        <v>53</v>
      </c>
      <c r="C22" s="3" t="s">
        <v>54</v>
      </c>
      <c r="D22" s="1" t="s">
        <v>55</v>
      </c>
      <c r="E22" s="1" t="s">
        <v>56</v>
      </c>
      <c r="F22" s="46">
        <f>ΑΝΑΛ.ΠΡΟΜ.OIK!G27</f>
        <v>57.100000000000009</v>
      </c>
      <c r="G22" s="20"/>
      <c r="H22" s="23"/>
      <c r="I22" s="27"/>
    </row>
    <row r="23" spans="1:9" x14ac:dyDescent="0.3">
      <c r="A23" s="51"/>
      <c r="B23" s="52">
        <v>22</v>
      </c>
      <c r="C23" s="53" t="s">
        <v>57</v>
      </c>
      <c r="D23" s="54" t="s">
        <v>6</v>
      </c>
      <c r="E23" s="54" t="s">
        <v>6</v>
      </c>
      <c r="F23" s="70"/>
      <c r="G23" s="20"/>
      <c r="H23" s="23"/>
      <c r="I23" s="26"/>
    </row>
    <row r="24" spans="1:9" s="4" customFormat="1" x14ac:dyDescent="0.3">
      <c r="A24" s="45">
        <v>13</v>
      </c>
      <c r="B24" s="2" t="s">
        <v>58</v>
      </c>
      <c r="C24" s="3" t="s">
        <v>59</v>
      </c>
      <c r="D24" s="1" t="s">
        <v>60</v>
      </c>
      <c r="E24" s="1" t="s">
        <v>16</v>
      </c>
      <c r="F24" s="46">
        <f>ΑΝΑΛ.ΠΡΟΜ.OIK!G29</f>
        <v>5.0199999999999996</v>
      </c>
      <c r="G24" s="20"/>
      <c r="H24" s="23"/>
      <c r="I24" s="27"/>
    </row>
    <row r="25" spans="1:9" x14ac:dyDescent="0.3">
      <c r="A25" s="45">
        <v>14</v>
      </c>
      <c r="B25" s="2" t="s">
        <v>61</v>
      </c>
      <c r="C25" s="3" t="s">
        <v>62</v>
      </c>
      <c r="D25" s="1" t="s">
        <v>63</v>
      </c>
      <c r="E25" s="1" t="s">
        <v>16</v>
      </c>
      <c r="F25" s="46">
        <f>ΑΝΑΛ.ΠΡΟΜ.OIK!G30</f>
        <v>16.417199999999998</v>
      </c>
      <c r="G25" s="20"/>
      <c r="H25" s="23"/>
      <c r="I25" s="26"/>
    </row>
    <row r="26" spans="1:9" x14ac:dyDescent="0.3">
      <c r="A26" s="45">
        <v>15</v>
      </c>
      <c r="B26" s="2" t="s">
        <v>64</v>
      </c>
      <c r="C26" s="3" t="s">
        <v>65</v>
      </c>
      <c r="D26" s="1" t="s">
        <v>66</v>
      </c>
      <c r="E26" s="1" t="s">
        <v>16</v>
      </c>
      <c r="F26" s="46">
        <f>ΑΝΑΛ.ΠΡΟΜ.OIK!G31</f>
        <v>10.143000000000001</v>
      </c>
      <c r="G26" s="20"/>
      <c r="H26" s="23"/>
      <c r="I26" s="26"/>
    </row>
    <row r="27" spans="1:9" s="8" customFormat="1" x14ac:dyDescent="0.3">
      <c r="A27" s="45">
        <v>16</v>
      </c>
      <c r="B27" s="2" t="s">
        <v>67</v>
      </c>
      <c r="C27" s="3" t="s">
        <v>68</v>
      </c>
      <c r="D27" s="1" t="s">
        <v>66</v>
      </c>
      <c r="E27" s="1" t="s">
        <v>69</v>
      </c>
      <c r="F27" s="46">
        <f>ΑΝΑΛ.ΠΡΟΜ.OIK!G32</f>
        <v>9.2200000000000006</v>
      </c>
      <c r="G27" s="21"/>
      <c r="H27" s="23"/>
      <c r="I27" s="28"/>
    </row>
    <row r="28" spans="1:9" s="8" customFormat="1" x14ac:dyDescent="0.3">
      <c r="A28" s="45"/>
      <c r="B28" s="9" t="s">
        <v>387</v>
      </c>
      <c r="C28" s="6" t="s">
        <v>388</v>
      </c>
      <c r="D28" s="1"/>
      <c r="E28" s="1"/>
      <c r="F28" s="46"/>
      <c r="G28" s="21"/>
      <c r="H28" s="23"/>
      <c r="I28" s="28"/>
    </row>
    <row r="29" spans="1:9" x14ac:dyDescent="0.3">
      <c r="A29" s="45">
        <v>17</v>
      </c>
      <c r="B29" s="2" t="s">
        <v>70</v>
      </c>
      <c r="C29" s="3" t="s">
        <v>71</v>
      </c>
      <c r="D29" s="1" t="s">
        <v>72</v>
      </c>
      <c r="E29" s="1" t="s">
        <v>16</v>
      </c>
      <c r="F29" s="46">
        <f>ΑΝΑΛ.ΠΡΟΜ.OIK!G33</f>
        <v>0.67500000000000004</v>
      </c>
      <c r="G29" s="20"/>
      <c r="H29" s="23"/>
      <c r="I29" s="26"/>
    </row>
    <row r="30" spans="1:9" x14ac:dyDescent="0.3">
      <c r="A30" s="47"/>
      <c r="B30" s="9" t="s">
        <v>73</v>
      </c>
      <c r="C30" s="6" t="s">
        <v>74</v>
      </c>
      <c r="D30" s="1"/>
      <c r="E30" s="1" t="s">
        <v>6</v>
      </c>
      <c r="F30" s="46"/>
      <c r="G30" s="20"/>
      <c r="H30" s="23"/>
      <c r="I30" s="26"/>
    </row>
    <row r="31" spans="1:9" x14ac:dyDescent="0.3">
      <c r="A31" s="47">
        <v>18</v>
      </c>
      <c r="B31" s="2" t="s">
        <v>75</v>
      </c>
      <c r="C31" s="3" t="s">
        <v>71</v>
      </c>
      <c r="D31" s="1" t="s">
        <v>72</v>
      </c>
      <c r="E31" s="1" t="s">
        <v>16</v>
      </c>
      <c r="F31" s="46">
        <f>ΑΝΑΛ.ΠΡΟΜ.OIK!G34</f>
        <v>0.79649999999999999</v>
      </c>
      <c r="G31" s="20"/>
      <c r="H31" s="23"/>
      <c r="I31" s="26"/>
    </row>
    <row r="32" spans="1:9" ht="27.6" x14ac:dyDescent="0.3">
      <c r="A32" s="47">
        <v>19</v>
      </c>
      <c r="B32" s="2" t="s">
        <v>76</v>
      </c>
      <c r="C32" s="3" t="s">
        <v>77</v>
      </c>
      <c r="D32" s="1" t="s">
        <v>72</v>
      </c>
      <c r="E32" s="1" t="s">
        <v>78</v>
      </c>
      <c r="F32" s="46">
        <f>ΑΝΑΛ.ΠΡΟΜ.OIK!G35</f>
        <v>93.44</v>
      </c>
      <c r="G32" s="20"/>
      <c r="H32" s="23"/>
      <c r="I32" s="26"/>
    </row>
    <row r="33" spans="1:9" x14ac:dyDescent="0.3">
      <c r="A33" s="47"/>
      <c r="B33" s="2" t="s">
        <v>79</v>
      </c>
      <c r="C33" s="3" t="s">
        <v>80</v>
      </c>
      <c r="D33" s="1"/>
      <c r="E33" s="1" t="s">
        <v>6</v>
      </c>
      <c r="F33" s="46"/>
      <c r="G33" s="20"/>
      <c r="H33" s="23"/>
      <c r="I33" s="26"/>
    </row>
    <row r="34" spans="1:9" x14ac:dyDescent="0.3">
      <c r="A34" s="47">
        <v>20</v>
      </c>
      <c r="B34" s="2" t="s">
        <v>81</v>
      </c>
      <c r="C34" s="3" t="s">
        <v>82</v>
      </c>
      <c r="D34" s="1" t="s">
        <v>83</v>
      </c>
      <c r="E34" s="1" t="s">
        <v>12</v>
      </c>
      <c r="F34" s="46">
        <f>ΑΝΑΛ.ΠΡΟΜ.OIK!G36</f>
        <v>15.8748</v>
      </c>
      <c r="G34" s="20"/>
      <c r="H34" s="23"/>
      <c r="I34" s="26"/>
    </row>
    <row r="35" spans="1:9" x14ac:dyDescent="0.3">
      <c r="A35" s="47"/>
      <c r="B35" s="2" t="s">
        <v>84</v>
      </c>
      <c r="C35" s="3" t="s">
        <v>85</v>
      </c>
      <c r="D35" s="1"/>
      <c r="E35" s="1" t="s">
        <v>6</v>
      </c>
      <c r="F35" s="46"/>
      <c r="G35" s="20"/>
      <c r="H35" s="23"/>
      <c r="I35" s="26"/>
    </row>
    <row r="36" spans="1:9" x14ac:dyDescent="0.3">
      <c r="A36" s="47">
        <v>21</v>
      </c>
      <c r="B36" s="2" t="s">
        <v>86</v>
      </c>
      <c r="C36" s="3" t="s">
        <v>82</v>
      </c>
      <c r="D36" s="1" t="s">
        <v>87</v>
      </c>
      <c r="E36" s="1" t="s">
        <v>12</v>
      </c>
      <c r="F36" s="46">
        <f>ΑΝΑΛ.ΠΡΟΜ.OIK!G37</f>
        <v>2</v>
      </c>
      <c r="G36" s="20"/>
      <c r="H36" s="23"/>
      <c r="I36" s="26"/>
    </row>
    <row r="37" spans="1:9" x14ac:dyDescent="0.3">
      <c r="A37" s="47">
        <v>22</v>
      </c>
      <c r="B37" s="2" t="s">
        <v>88</v>
      </c>
      <c r="C37" s="5" t="s">
        <v>89</v>
      </c>
      <c r="D37" s="1" t="s">
        <v>90</v>
      </c>
      <c r="E37" s="1" t="s">
        <v>12</v>
      </c>
      <c r="F37" s="46">
        <f>ΑΝΑΛ.ΠΡΟΜ.OIK!G38</f>
        <v>66.150000000000006</v>
      </c>
      <c r="G37" s="20"/>
      <c r="H37" s="23"/>
      <c r="I37" s="26"/>
    </row>
    <row r="38" spans="1:9" x14ac:dyDescent="0.3">
      <c r="A38" s="47">
        <v>23</v>
      </c>
      <c r="B38" s="2" t="s">
        <v>91</v>
      </c>
      <c r="C38" s="3" t="s">
        <v>92</v>
      </c>
      <c r="D38" s="1" t="s">
        <v>93</v>
      </c>
      <c r="E38" s="1" t="s">
        <v>12</v>
      </c>
      <c r="F38" s="46">
        <f>ΑΝΑΛ.ΠΡΟΜ.OIK!G39</f>
        <v>1175.96</v>
      </c>
      <c r="G38" s="20"/>
      <c r="H38" s="23"/>
      <c r="I38" s="26"/>
    </row>
    <row r="39" spans="1:9" s="4" customFormat="1" x14ac:dyDescent="0.3">
      <c r="A39" s="47">
        <v>24</v>
      </c>
      <c r="B39" s="2" t="s">
        <v>94</v>
      </c>
      <c r="C39" s="3" t="s">
        <v>95</v>
      </c>
      <c r="D39" s="1" t="s">
        <v>93</v>
      </c>
      <c r="E39" s="1" t="s">
        <v>12</v>
      </c>
      <c r="F39" s="46">
        <f>ΑΝΑΛ.ΠΡΟΜ.OIK!G40</f>
        <v>1111</v>
      </c>
      <c r="G39" s="20"/>
      <c r="H39" s="23"/>
      <c r="I39" s="27"/>
    </row>
    <row r="40" spans="1:9" s="4" customFormat="1" x14ac:dyDescent="0.3">
      <c r="A40" s="47">
        <v>25</v>
      </c>
      <c r="B40" s="2" t="s">
        <v>96</v>
      </c>
      <c r="C40" s="3" t="s">
        <v>97</v>
      </c>
      <c r="D40" s="1" t="s">
        <v>93</v>
      </c>
      <c r="E40" s="1" t="s">
        <v>12</v>
      </c>
      <c r="F40" s="46">
        <f>ΑΝΑΛ.ΠΡΟΜ.OIK!G41</f>
        <v>1111</v>
      </c>
      <c r="G40" s="20"/>
      <c r="H40" s="23"/>
      <c r="I40" s="27"/>
    </row>
    <row r="41" spans="1:9" x14ac:dyDescent="0.3">
      <c r="A41" s="47">
        <v>26</v>
      </c>
      <c r="B41" s="2" t="s">
        <v>98</v>
      </c>
      <c r="C41" s="3" t="s">
        <v>99</v>
      </c>
      <c r="D41" s="1" t="s">
        <v>100</v>
      </c>
      <c r="E41" s="1" t="s">
        <v>101</v>
      </c>
      <c r="F41" s="46">
        <f>ΑΝΑΛ.ΠΡΟΜ.OIK!G42</f>
        <v>150</v>
      </c>
      <c r="G41" s="20"/>
      <c r="H41" s="23"/>
      <c r="I41" s="26"/>
    </row>
    <row r="42" spans="1:9" s="4" customFormat="1" x14ac:dyDescent="0.3">
      <c r="A42" s="45">
        <v>27</v>
      </c>
      <c r="B42" s="2" t="s">
        <v>102</v>
      </c>
      <c r="C42" s="3" t="s">
        <v>103</v>
      </c>
      <c r="D42" s="1" t="s">
        <v>100</v>
      </c>
      <c r="E42" s="1" t="s">
        <v>101</v>
      </c>
      <c r="F42" s="46" t="e">
        <f>ΑΝΑΛ.ΠΡΟΜ.OIK!#REF!</f>
        <v>#REF!</v>
      </c>
      <c r="G42" s="20"/>
      <c r="H42" s="23"/>
      <c r="I42" s="27"/>
    </row>
    <row r="43" spans="1:9" s="4" customFormat="1" x14ac:dyDescent="0.3">
      <c r="A43" s="45">
        <v>28</v>
      </c>
      <c r="B43" s="2" t="s">
        <v>104</v>
      </c>
      <c r="C43" s="3" t="s">
        <v>105</v>
      </c>
      <c r="D43" s="1" t="s">
        <v>100</v>
      </c>
      <c r="E43" s="1" t="s">
        <v>101</v>
      </c>
      <c r="F43" s="46">
        <f>ΑΝΑΛ.ΠΡΟΜ.OIK!G43</f>
        <v>50</v>
      </c>
      <c r="G43" s="20"/>
      <c r="H43" s="23"/>
      <c r="I43" s="27"/>
    </row>
    <row r="44" spans="1:9" x14ac:dyDescent="0.3">
      <c r="A44" s="45"/>
      <c r="B44" s="9" t="s">
        <v>106</v>
      </c>
      <c r="C44" s="6" t="s">
        <v>107</v>
      </c>
      <c r="D44" s="1"/>
      <c r="E44" s="1" t="s">
        <v>6</v>
      </c>
      <c r="F44" s="46"/>
      <c r="G44" s="20"/>
      <c r="H44" s="23"/>
      <c r="I44" s="26"/>
    </row>
    <row r="45" spans="1:9" x14ac:dyDescent="0.3">
      <c r="A45" s="45">
        <v>29</v>
      </c>
      <c r="B45" s="2" t="s">
        <v>108</v>
      </c>
      <c r="C45" s="3" t="s">
        <v>109</v>
      </c>
      <c r="D45" s="1" t="s">
        <v>110</v>
      </c>
      <c r="E45" s="1" t="s">
        <v>101</v>
      </c>
      <c r="F45" s="46">
        <f>ΑΝΑΛ.ΠΡΟΜ.OIK!G44</f>
        <v>2</v>
      </c>
      <c r="G45" s="20"/>
      <c r="H45" s="23"/>
      <c r="I45" s="26"/>
    </row>
    <row r="46" spans="1:9" x14ac:dyDescent="0.3">
      <c r="A46" s="45"/>
      <c r="B46" s="9" t="s">
        <v>111</v>
      </c>
      <c r="C46" s="6" t="s">
        <v>112</v>
      </c>
      <c r="D46" s="1"/>
      <c r="E46" s="1" t="s">
        <v>6</v>
      </c>
      <c r="F46" s="46"/>
      <c r="G46" s="20"/>
      <c r="H46" s="23"/>
      <c r="I46" s="26"/>
    </row>
    <row r="47" spans="1:9" s="4" customFormat="1" x14ac:dyDescent="0.3">
      <c r="A47" s="45">
        <v>30</v>
      </c>
      <c r="B47" s="2" t="s">
        <v>113</v>
      </c>
      <c r="C47" s="3" t="s">
        <v>114</v>
      </c>
      <c r="D47" s="1" t="s">
        <v>115</v>
      </c>
      <c r="E47" s="1" t="s">
        <v>69</v>
      </c>
      <c r="F47" s="46">
        <f>ΑΝΑΛ.ΠΡΟΜ.OIK!G45</f>
        <v>456.80000000000007</v>
      </c>
      <c r="G47" s="20"/>
      <c r="H47" s="23"/>
      <c r="I47" s="27"/>
    </row>
    <row r="48" spans="1:9" s="4" customFormat="1" x14ac:dyDescent="0.3">
      <c r="A48" s="45">
        <v>31</v>
      </c>
      <c r="B48" s="2" t="s">
        <v>116</v>
      </c>
      <c r="C48" s="3" t="s">
        <v>117</v>
      </c>
      <c r="D48" s="1" t="s">
        <v>118</v>
      </c>
      <c r="E48" s="1" t="s">
        <v>69</v>
      </c>
      <c r="F48" s="46">
        <f>ΑΝΑΛ.ΠΡΟΜ.OIK!G46</f>
        <v>348.45</v>
      </c>
      <c r="G48" s="20"/>
      <c r="H48" s="23"/>
      <c r="I48" s="27"/>
    </row>
    <row r="49" spans="1:11" s="4" customFormat="1" x14ac:dyDescent="0.3">
      <c r="A49" s="45">
        <v>32</v>
      </c>
      <c r="B49" s="2" t="s">
        <v>119</v>
      </c>
      <c r="C49" s="3" t="s">
        <v>120</v>
      </c>
      <c r="D49" s="1" t="s">
        <v>121</v>
      </c>
      <c r="E49" s="1" t="s">
        <v>12</v>
      </c>
      <c r="F49" s="46">
        <f>ΑΝΑΛ.ΠΡΟΜ.OIK!G47</f>
        <v>131.74</v>
      </c>
      <c r="G49" s="20"/>
      <c r="H49" s="23"/>
      <c r="I49" s="27"/>
    </row>
    <row r="50" spans="1:11" x14ac:dyDescent="0.3">
      <c r="A50" s="45">
        <v>33</v>
      </c>
      <c r="B50" s="2" t="s">
        <v>122</v>
      </c>
      <c r="C50" s="3" t="s">
        <v>123</v>
      </c>
      <c r="D50" s="1" t="s">
        <v>121</v>
      </c>
      <c r="E50" s="1" t="s">
        <v>12</v>
      </c>
      <c r="F50" s="46">
        <f>ΑΝΑΛ.ΠΡΟΜ.OIK!G48</f>
        <v>372.37574999999998</v>
      </c>
      <c r="G50" s="20"/>
      <c r="H50" s="23"/>
      <c r="I50" s="26"/>
    </row>
    <row r="51" spans="1:11" s="4" customFormat="1" x14ac:dyDescent="0.3">
      <c r="A51" s="45">
        <v>34</v>
      </c>
      <c r="B51" s="2" t="s">
        <v>124</v>
      </c>
      <c r="C51" s="5" t="s">
        <v>125</v>
      </c>
      <c r="D51" s="1" t="s">
        <v>121</v>
      </c>
      <c r="E51" s="1" t="s">
        <v>12</v>
      </c>
      <c r="F51" s="46">
        <f>ΑΝΑΛ.ΠΡΟΜ.OIK!G49</f>
        <v>252.45000000000002</v>
      </c>
      <c r="G51" s="20"/>
      <c r="H51" s="23"/>
      <c r="I51" s="27"/>
    </row>
    <row r="52" spans="1:11" x14ac:dyDescent="0.3">
      <c r="A52" s="45">
        <v>35</v>
      </c>
      <c r="B52" s="2" t="s">
        <v>126</v>
      </c>
      <c r="C52" s="5" t="s">
        <v>127</v>
      </c>
      <c r="D52" s="1" t="s">
        <v>128</v>
      </c>
      <c r="E52" s="1" t="s">
        <v>16</v>
      </c>
      <c r="F52" s="46">
        <f>ΑΝΑΛ.ΠΡΟΜ.OIK!G50</f>
        <v>8.6122052800000013</v>
      </c>
      <c r="G52" s="20"/>
      <c r="H52" s="23"/>
      <c r="I52" s="26"/>
    </row>
    <row r="53" spans="1:11" s="4" customFormat="1" x14ac:dyDescent="0.3">
      <c r="A53" s="45">
        <v>36</v>
      </c>
      <c r="B53" s="2" t="s">
        <v>129</v>
      </c>
      <c r="C53" s="5" t="s">
        <v>130</v>
      </c>
      <c r="D53" s="1" t="s">
        <v>128</v>
      </c>
      <c r="E53" s="1" t="s">
        <v>16</v>
      </c>
      <c r="F53" s="46">
        <f>ΑΝΑΛ.ΠΡΟΜ.OIK!G51</f>
        <v>2.2999999999999998</v>
      </c>
      <c r="G53" s="20"/>
      <c r="H53" s="23"/>
      <c r="I53" s="27"/>
    </row>
    <row r="54" spans="1:11" s="4" customFormat="1" x14ac:dyDescent="0.3">
      <c r="A54" s="45">
        <v>37</v>
      </c>
      <c r="B54" s="2" t="s">
        <v>131</v>
      </c>
      <c r="C54" s="3" t="s">
        <v>132</v>
      </c>
      <c r="D54" s="1" t="s">
        <v>121</v>
      </c>
      <c r="E54" s="1" t="s">
        <v>12</v>
      </c>
      <c r="F54" s="46">
        <f>ΑΝΑΛ.ΠΡΟΜ.OIK!G52</f>
        <v>217.32</v>
      </c>
      <c r="G54" s="20"/>
      <c r="H54" s="23"/>
      <c r="I54" s="27"/>
    </row>
    <row r="55" spans="1:11" x14ac:dyDescent="0.3">
      <c r="A55" s="45">
        <v>38</v>
      </c>
      <c r="B55" s="2" t="s">
        <v>133</v>
      </c>
      <c r="C55" s="3" t="s">
        <v>134</v>
      </c>
      <c r="D55" s="1" t="s">
        <v>135</v>
      </c>
      <c r="E55" s="1" t="s">
        <v>12</v>
      </c>
      <c r="F55" s="46">
        <f>ΑΝΑΛ.ΠΡΟΜ.OIK!G53</f>
        <v>3.7415249999999998</v>
      </c>
      <c r="G55" s="20"/>
      <c r="H55" s="23"/>
      <c r="I55" s="26"/>
    </row>
    <row r="56" spans="1:11" x14ac:dyDescent="0.3">
      <c r="A56" s="45"/>
      <c r="B56" s="9" t="s">
        <v>136</v>
      </c>
      <c r="C56" s="6" t="s">
        <v>137</v>
      </c>
      <c r="D56" s="1" t="s">
        <v>6</v>
      </c>
      <c r="E56" s="1" t="s">
        <v>6</v>
      </c>
      <c r="F56" s="46"/>
      <c r="G56" s="20"/>
      <c r="H56" s="23"/>
      <c r="I56" s="26"/>
    </row>
    <row r="57" spans="1:11" x14ac:dyDescent="0.3">
      <c r="A57" s="45">
        <v>39</v>
      </c>
      <c r="B57" s="2" t="s">
        <v>138</v>
      </c>
      <c r="C57" s="3" t="s">
        <v>139</v>
      </c>
      <c r="D57" s="1" t="s">
        <v>121</v>
      </c>
      <c r="E57" s="1" t="s">
        <v>16</v>
      </c>
      <c r="F57" s="46" t="e">
        <f>ΑΝΑΛ.ΠΡΟΜ.OIK!#REF!</f>
        <v>#REF!</v>
      </c>
      <c r="G57" s="20"/>
      <c r="H57" s="23"/>
      <c r="I57" s="26"/>
    </row>
    <row r="58" spans="1:11" x14ac:dyDescent="0.3">
      <c r="A58" s="45">
        <v>40</v>
      </c>
      <c r="B58" s="2" t="s">
        <v>140</v>
      </c>
      <c r="C58" s="3" t="s">
        <v>141</v>
      </c>
      <c r="D58" s="1" t="s">
        <v>121</v>
      </c>
      <c r="E58" s="1" t="s">
        <v>142</v>
      </c>
      <c r="F58" s="46">
        <f>ΑΝΑΛ.ΠΡΟΜ.OIK!G54</f>
        <v>403.17600000000004</v>
      </c>
      <c r="G58" s="20"/>
      <c r="H58" s="23"/>
      <c r="I58" s="26"/>
    </row>
    <row r="59" spans="1:11" x14ac:dyDescent="0.3">
      <c r="A59" s="45"/>
      <c r="B59" s="9" t="s">
        <v>143</v>
      </c>
      <c r="C59" s="6" t="s">
        <v>144</v>
      </c>
      <c r="D59" s="1" t="s">
        <v>6</v>
      </c>
      <c r="E59" s="1" t="s">
        <v>6</v>
      </c>
      <c r="F59" s="46"/>
      <c r="G59" s="20"/>
      <c r="H59" s="23"/>
      <c r="I59" s="26"/>
    </row>
    <row r="60" spans="1:11" s="4" customFormat="1" x14ac:dyDescent="0.3">
      <c r="A60" s="45">
        <v>41</v>
      </c>
      <c r="B60" s="2" t="s">
        <v>145</v>
      </c>
      <c r="C60" s="3" t="s">
        <v>146</v>
      </c>
      <c r="D60" s="1" t="s">
        <v>147</v>
      </c>
      <c r="E60" s="1" t="s">
        <v>12</v>
      </c>
      <c r="F60" s="46">
        <f>ΑΝΑΛ.ΠΡΟΜ.OIK!G56</f>
        <v>1.7999999999999998</v>
      </c>
      <c r="G60" s="20"/>
      <c r="H60" s="23"/>
      <c r="I60" s="27"/>
    </row>
    <row r="61" spans="1:11" x14ac:dyDescent="0.3">
      <c r="A61" s="45">
        <v>42</v>
      </c>
      <c r="B61" s="2" t="s">
        <v>148</v>
      </c>
      <c r="C61" s="3" t="s">
        <v>149</v>
      </c>
      <c r="D61" s="1" t="s">
        <v>121</v>
      </c>
      <c r="E61" s="1" t="s">
        <v>16</v>
      </c>
      <c r="F61" s="46">
        <f>ΑΝΑΛ.ΠΡΟΜ.OIK!G57</f>
        <v>17.452400000000001</v>
      </c>
      <c r="G61" s="20"/>
      <c r="H61" s="23"/>
      <c r="I61" s="26"/>
    </row>
    <row r="62" spans="1:11" s="4" customFormat="1" x14ac:dyDescent="0.3">
      <c r="A62" s="45">
        <v>43</v>
      </c>
      <c r="B62" s="2" t="s">
        <v>150</v>
      </c>
      <c r="C62" s="3" t="s">
        <v>151</v>
      </c>
      <c r="D62" s="1" t="s">
        <v>121</v>
      </c>
      <c r="E62" s="1" t="s">
        <v>16</v>
      </c>
      <c r="F62" s="46">
        <f>ΑΝΑΛ.ΠΡΟΜ.OIK!G58</f>
        <v>10.143000000000001</v>
      </c>
      <c r="G62" s="20"/>
      <c r="H62" s="23"/>
      <c r="I62" s="27"/>
    </row>
    <row r="63" spans="1:11" s="4" customFormat="1" x14ac:dyDescent="0.3">
      <c r="A63" s="45">
        <v>44</v>
      </c>
      <c r="B63" s="2" t="s">
        <v>152</v>
      </c>
      <c r="C63" s="3" t="s">
        <v>153</v>
      </c>
      <c r="D63" s="1" t="s">
        <v>121</v>
      </c>
      <c r="E63" s="1" t="s">
        <v>16</v>
      </c>
      <c r="F63" s="46" t="e">
        <f>ΑΝΑΛ.ΠΡΟΜ.OIK!#REF!</f>
        <v>#REF!</v>
      </c>
      <c r="G63" s="20"/>
      <c r="H63" s="23"/>
      <c r="I63" s="27"/>
    </row>
    <row r="64" spans="1:11" x14ac:dyDescent="0.3">
      <c r="A64" s="51"/>
      <c r="B64" s="52">
        <v>23</v>
      </c>
      <c r="C64" s="53" t="s">
        <v>154</v>
      </c>
      <c r="D64" s="54" t="s">
        <v>6</v>
      </c>
      <c r="E64" s="54" t="s">
        <v>6</v>
      </c>
      <c r="F64" s="70"/>
      <c r="G64" s="20"/>
      <c r="H64" s="23"/>
      <c r="I64" s="27"/>
      <c r="J64" s="4"/>
      <c r="K64" s="4"/>
    </row>
    <row r="65" spans="1:11" x14ac:dyDescent="0.3">
      <c r="A65" s="47">
        <v>45</v>
      </c>
      <c r="B65" s="2" t="s">
        <v>155</v>
      </c>
      <c r="C65" s="3" t="s">
        <v>156</v>
      </c>
      <c r="D65" s="1" t="s">
        <v>157</v>
      </c>
      <c r="E65" s="1" t="s">
        <v>12</v>
      </c>
      <c r="F65" s="46">
        <f>ΑΝΑΛ.ΠΡΟΜ.OIK!G61</f>
        <v>785.49</v>
      </c>
      <c r="G65" s="20"/>
      <c r="H65" s="23"/>
      <c r="I65" s="27"/>
      <c r="J65" s="4"/>
      <c r="K65" s="4"/>
    </row>
    <row r="66" spans="1:11" x14ac:dyDescent="0.3">
      <c r="A66" s="47">
        <v>46</v>
      </c>
      <c r="B66" s="2" t="s">
        <v>158</v>
      </c>
      <c r="C66" s="3" t="s">
        <v>159</v>
      </c>
      <c r="D66" s="1" t="s">
        <v>160</v>
      </c>
      <c r="E66" s="1" t="s">
        <v>12</v>
      </c>
      <c r="F66" s="46">
        <f>ΑΝΑΛ.ΠΡΟΜ.OIK!G62</f>
        <v>785.49</v>
      </c>
      <c r="G66" s="20"/>
      <c r="H66" s="23"/>
      <c r="I66" s="27"/>
      <c r="J66" s="4"/>
      <c r="K66" s="4"/>
    </row>
    <row r="67" spans="1:11" s="4" customFormat="1" x14ac:dyDescent="0.3">
      <c r="A67" s="47">
        <v>47</v>
      </c>
      <c r="B67" s="2" t="s">
        <v>162</v>
      </c>
      <c r="C67" s="3" t="s">
        <v>163</v>
      </c>
      <c r="D67" s="1" t="s">
        <v>161</v>
      </c>
      <c r="E67" s="1" t="s">
        <v>12</v>
      </c>
      <c r="F67" s="46">
        <f>ΑΝΑΛ.ΠΡΟΜ.OIK!G63</f>
        <v>810.89</v>
      </c>
      <c r="G67" s="20"/>
      <c r="H67" s="23"/>
      <c r="I67" s="27"/>
    </row>
    <row r="68" spans="1:11" ht="20.100000000000001" customHeight="1" x14ac:dyDescent="0.3">
      <c r="A68" s="51"/>
      <c r="B68" s="52">
        <v>32</v>
      </c>
      <c r="C68" s="53" t="s">
        <v>437</v>
      </c>
      <c r="D68" s="54" t="s">
        <v>6</v>
      </c>
      <c r="E68" s="54" t="s">
        <v>6</v>
      </c>
      <c r="F68" s="58"/>
      <c r="G68" s="20"/>
      <c r="H68" s="23"/>
      <c r="I68" s="27"/>
      <c r="J68" s="4"/>
      <c r="K68" s="4"/>
    </row>
    <row r="69" spans="1:11" ht="27.6" x14ac:dyDescent="0.3">
      <c r="A69" s="47"/>
      <c r="B69" s="9" t="s">
        <v>164</v>
      </c>
      <c r="C69" s="6" t="s">
        <v>165</v>
      </c>
      <c r="D69" s="1"/>
      <c r="E69" s="1" t="s">
        <v>6</v>
      </c>
      <c r="F69" s="46"/>
      <c r="G69" s="20"/>
      <c r="H69" s="23"/>
      <c r="I69" s="27"/>
      <c r="J69" s="4"/>
      <c r="K69" s="4"/>
    </row>
    <row r="70" spans="1:11" ht="20.100000000000001" customHeight="1" x14ac:dyDescent="0.3">
      <c r="A70" s="47">
        <v>48</v>
      </c>
      <c r="B70" s="2" t="s">
        <v>166</v>
      </c>
      <c r="C70" s="3" t="s">
        <v>167</v>
      </c>
      <c r="D70" s="1" t="s">
        <v>168</v>
      </c>
      <c r="E70" s="1" t="s">
        <v>16</v>
      </c>
      <c r="F70" s="46">
        <f>ΑΝΑΛ.ΠΡΟΜ.OIK!G66</f>
        <v>35.129800000000003</v>
      </c>
      <c r="G70" s="20"/>
      <c r="H70" s="23"/>
      <c r="I70" s="27"/>
      <c r="J70" s="4"/>
      <c r="K70" s="4"/>
    </row>
    <row r="71" spans="1:11" ht="20.100000000000001" customHeight="1" x14ac:dyDescent="0.3">
      <c r="A71" s="47">
        <v>49</v>
      </c>
      <c r="B71" s="2" t="s">
        <v>169</v>
      </c>
      <c r="C71" s="3" t="s">
        <v>170</v>
      </c>
      <c r="D71" s="1" t="s">
        <v>171</v>
      </c>
      <c r="E71" s="1" t="s">
        <v>16</v>
      </c>
      <c r="F71" s="46">
        <f>ΑΝΑΛ.ΠΡΟΜ.OIK!G67</f>
        <v>3.6840000000000006</v>
      </c>
      <c r="G71" s="20"/>
      <c r="H71" s="23"/>
      <c r="I71" s="27"/>
      <c r="J71" s="4"/>
      <c r="K71" s="4"/>
    </row>
    <row r="72" spans="1:11" ht="20.100000000000001" customHeight="1" x14ac:dyDescent="0.3">
      <c r="A72" s="47">
        <v>50</v>
      </c>
      <c r="B72" s="2" t="s">
        <v>172</v>
      </c>
      <c r="C72" s="3" t="s">
        <v>173</v>
      </c>
      <c r="D72" s="1" t="s">
        <v>174</v>
      </c>
      <c r="E72" s="1" t="s">
        <v>16</v>
      </c>
      <c r="F72" s="46">
        <f>ΑΝΑΛ.ΠΡΟΜ.OIK!G68</f>
        <v>193.87215</v>
      </c>
      <c r="G72" s="20"/>
      <c r="H72" s="23"/>
      <c r="I72" s="26"/>
    </row>
    <row r="73" spans="1:11" s="4" customFormat="1" ht="30" customHeight="1" x14ac:dyDescent="0.3">
      <c r="A73" s="47">
        <v>51</v>
      </c>
      <c r="B73" s="9" t="s">
        <v>175</v>
      </c>
      <c r="C73" s="6" t="s">
        <v>176</v>
      </c>
      <c r="D73" s="10" t="s">
        <v>177</v>
      </c>
      <c r="E73" s="1" t="s">
        <v>16</v>
      </c>
      <c r="F73" s="46" t="e">
        <f>ΑΝΑΛ.ΠΡΟΜ.OIK!#REF!</f>
        <v>#REF!</v>
      </c>
      <c r="G73" s="20"/>
      <c r="H73" s="23"/>
      <c r="I73" s="27"/>
    </row>
    <row r="74" spans="1:11" s="4" customFormat="1" ht="20.100000000000001" customHeight="1" x14ac:dyDescent="0.3">
      <c r="A74" s="47">
        <v>52</v>
      </c>
      <c r="B74" s="2" t="s">
        <v>178</v>
      </c>
      <c r="C74" s="3" t="s">
        <v>378</v>
      </c>
      <c r="D74" s="1" t="s">
        <v>174</v>
      </c>
      <c r="E74" s="1" t="s">
        <v>179</v>
      </c>
      <c r="F74" s="46">
        <f>ΑΝΑΛ.ΠΡΟΜ.OIK!G69</f>
        <v>104619.92800000003</v>
      </c>
      <c r="G74" s="20"/>
      <c r="H74" s="23"/>
      <c r="I74" s="27"/>
    </row>
    <row r="75" spans="1:11" x14ac:dyDescent="0.3">
      <c r="A75" s="51"/>
      <c r="B75" s="52">
        <v>38</v>
      </c>
      <c r="C75" s="53" t="s">
        <v>180</v>
      </c>
      <c r="D75" s="54" t="s">
        <v>6</v>
      </c>
      <c r="E75" s="54" t="s">
        <v>6</v>
      </c>
      <c r="F75" s="70"/>
      <c r="G75" s="20"/>
      <c r="H75" s="23"/>
      <c r="I75" s="27"/>
      <c r="J75" s="4"/>
      <c r="K75" s="4"/>
    </row>
    <row r="76" spans="1:11" x14ac:dyDescent="0.3">
      <c r="A76" s="45">
        <v>53</v>
      </c>
      <c r="B76" s="2" t="s">
        <v>181</v>
      </c>
      <c r="C76" s="3" t="s">
        <v>182</v>
      </c>
      <c r="D76" s="1" t="s">
        <v>183</v>
      </c>
      <c r="E76" s="1" t="s">
        <v>12</v>
      </c>
      <c r="F76" s="46">
        <f>ΑΝΑΛ.ΠΡΟΜ.OIK!G71</f>
        <v>466.17399999999998</v>
      </c>
      <c r="G76" s="20"/>
      <c r="H76" s="23"/>
      <c r="I76" s="27"/>
      <c r="J76" s="4"/>
      <c r="K76" s="4"/>
    </row>
    <row r="77" spans="1:11" x14ac:dyDescent="0.3">
      <c r="A77" s="45"/>
      <c r="B77" s="9" t="s">
        <v>184</v>
      </c>
      <c r="C77" s="6" t="s">
        <v>185</v>
      </c>
      <c r="D77" s="1"/>
      <c r="E77" s="1" t="s">
        <v>6</v>
      </c>
      <c r="F77" s="46"/>
      <c r="G77" s="20"/>
      <c r="H77" s="23"/>
      <c r="I77" s="27"/>
      <c r="J77" s="4"/>
      <c r="K77" s="4"/>
    </row>
    <row r="78" spans="1:11" s="4" customFormat="1" x14ac:dyDescent="0.3">
      <c r="A78" s="45">
        <v>54</v>
      </c>
      <c r="B78" s="2" t="s">
        <v>186</v>
      </c>
      <c r="C78" s="3" t="s">
        <v>187</v>
      </c>
      <c r="D78" s="1" t="s">
        <v>188</v>
      </c>
      <c r="E78" s="1" t="s">
        <v>189</v>
      </c>
      <c r="F78" s="46">
        <f>ΑΝΑΛ.ΠΡΟΜ.OIK!G72</f>
        <v>36508.349600000001</v>
      </c>
      <c r="G78" s="20"/>
      <c r="H78" s="23"/>
      <c r="I78" s="27"/>
    </row>
    <row r="79" spans="1:11" x14ac:dyDescent="0.3">
      <c r="A79" s="45">
        <v>55</v>
      </c>
      <c r="B79" s="2" t="s">
        <v>190</v>
      </c>
      <c r="C79" s="3" t="s">
        <v>191</v>
      </c>
      <c r="D79" s="1" t="s">
        <v>188</v>
      </c>
      <c r="E79" s="1" t="s">
        <v>142</v>
      </c>
      <c r="F79" s="46">
        <f>ΑΝΑΛ.ΠΡΟΜ.OIK!G73</f>
        <v>283.53790800000002</v>
      </c>
      <c r="G79" s="20"/>
      <c r="H79" s="23"/>
      <c r="I79" s="27"/>
      <c r="J79" s="4"/>
      <c r="K79" s="4"/>
    </row>
    <row r="80" spans="1:11" x14ac:dyDescent="0.3">
      <c r="A80" s="45"/>
      <c r="B80" s="9" t="s">
        <v>192</v>
      </c>
      <c r="C80" s="6" t="s">
        <v>193</v>
      </c>
      <c r="D80" s="1" t="s">
        <v>6</v>
      </c>
      <c r="E80" s="1" t="s">
        <v>6</v>
      </c>
      <c r="F80" s="46"/>
      <c r="G80" s="20"/>
      <c r="H80" s="23"/>
      <c r="I80" s="27"/>
      <c r="J80" s="4"/>
      <c r="K80" s="4"/>
    </row>
    <row r="81" spans="1:11" x14ac:dyDescent="0.3">
      <c r="A81" s="45">
        <v>56</v>
      </c>
      <c r="B81" s="2" t="s">
        <v>194</v>
      </c>
      <c r="C81" s="3" t="s">
        <v>195</v>
      </c>
      <c r="D81" s="1" t="s">
        <v>196</v>
      </c>
      <c r="E81" s="1" t="s">
        <v>142</v>
      </c>
      <c r="F81" s="46">
        <f>ΑΝΑΛ.ΠΡΟΜ.OIK!G74</f>
        <v>1935.7999999999997</v>
      </c>
      <c r="G81" s="20"/>
      <c r="H81" s="23"/>
      <c r="I81" s="27"/>
      <c r="J81" s="4"/>
      <c r="K81" s="4"/>
    </row>
    <row r="82" spans="1:11" x14ac:dyDescent="0.3">
      <c r="A82" s="45">
        <v>57</v>
      </c>
      <c r="B82" s="2" t="s">
        <v>197</v>
      </c>
      <c r="C82" s="3" t="s">
        <v>198</v>
      </c>
      <c r="D82" s="1" t="s">
        <v>196</v>
      </c>
      <c r="E82" s="1" t="s">
        <v>12</v>
      </c>
      <c r="F82" s="46">
        <f>ΑΝΑΛ.ΠΡΟΜ.OIK!G75</f>
        <v>395.64499999999998</v>
      </c>
      <c r="G82" s="20"/>
      <c r="H82" s="23"/>
      <c r="I82" s="27"/>
      <c r="J82" s="4"/>
      <c r="K82" s="4"/>
    </row>
    <row r="83" spans="1:11" ht="20.100000000000001" customHeight="1" x14ac:dyDescent="0.3">
      <c r="A83" s="51"/>
      <c r="B83" s="52">
        <v>42</v>
      </c>
      <c r="C83" s="53" t="s">
        <v>438</v>
      </c>
      <c r="D83" s="54" t="s">
        <v>6</v>
      </c>
      <c r="E83" s="54" t="s">
        <v>6</v>
      </c>
      <c r="F83" s="57"/>
      <c r="G83" s="20"/>
      <c r="H83" s="23"/>
      <c r="I83" s="27"/>
      <c r="J83" s="4"/>
      <c r="K83" s="4"/>
    </row>
    <row r="84" spans="1:11" x14ac:dyDescent="0.3">
      <c r="A84" s="45"/>
      <c r="B84" s="9" t="s">
        <v>199</v>
      </c>
      <c r="C84" s="6" t="s">
        <v>200</v>
      </c>
      <c r="D84" s="1"/>
      <c r="E84" s="1" t="s">
        <v>6</v>
      </c>
      <c r="F84" s="46"/>
      <c r="G84" s="20"/>
      <c r="H84" s="23"/>
      <c r="I84" s="27"/>
      <c r="J84" s="4"/>
      <c r="K84" s="4"/>
    </row>
    <row r="85" spans="1:11" s="4" customFormat="1" x14ac:dyDescent="0.3">
      <c r="A85" s="45">
        <v>58</v>
      </c>
      <c r="B85" s="2" t="s">
        <v>201</v>
      </c>
      <c r="C85" s="3" t="s">
        <v>202</v>
      </c>
      <c r="D85" s="1" t="s">
        <v>203</v>
      </c>
      <c r="E85" s="1" t="s">
        <v>16</v>
      </c>
      <c r="F85" s="46">
        <f>ΑΝΑΛ.ΠΡΟΜ.OIK!G78</f>
        <v>10.1944</v>
      </c>
      <c r="G85" s="20"/>
      <c r="H85" s="23"/>
      <c r="I85" s="27"/>
    </row>
    <row r="86" spans="1:11" s="4" customFormat="1" x14ac:dyDescent="0.3">
      <c r="A86" s="45">
        <v>59</v>
      </c>
      <c r="B86" s="2" t="s">
        <v>204</v>
      </c>
      <c r="C86" s="3" t="s">
        <v>205</v>
      </c>
      <c r="D86" s="1" t="s">
        <v>203</v>
      </c>
      <c r="E86" s="1" t="s">
        <v>69</v>
      </c>
      <c r="F86" s="46">
        <f>ΑΝΑΛ.ΠΡΟΜ.OIK!G79</f>
        <v>57.100000000000009</v>
      </c>
      <c r="G86" s="20"/>
      <c r="H86" s="23"/>
      <c r="I86" s="27"/>
    </row>
    <row r="87" spans="1:11" x14ac:dyDescent="0.3">
      <c r="A87" s="45"/>
      <c r="B87" s="2" t="s">
        <v>206</v>
      </c>
      <c r="C87" s="3" t="s">
        <v>207</v>
      </c>
      <c r="D87" s="1"/>
      <c r="E87" s="1" t="s">
        <v>6</v>
      </c>
      <c r="F87" s="46"/>
      <c r="G87" s="20"/>
      <c r="H87" s="23"/>
      <c r="I87" s="27"/>
      <c r="J87" s="4"/>
      <c r="K87" s="4"/>
    </row>
    <row r="88" spans="1:11" x14ac:dyDescent="0.3">
      <c r="A88" s="45">
        <v>60</v>
      </c>
      <c r="B88" s="2" t="s">
        <v>208</v>
      </c>
      <c r="C88" s="3" t="s">
        <v>209</v>
      </c>
      <c r="D88" s="1" t="s">
        <v>210</v>
      </c>
      <c r="E88" s="1" t="s">
        <v>16</v>
      </c>
      <c r="F88" s="46">
        <f>ΑΝΑΛ.ΠΡΟΜ.OIK!G80</f>
        <v>23.197499999999998</v>
      </c>
      <c r="G88" s="20"/>
      <c r="H88" s="23"/>
      <c r="I88" s="27"/>
      <c r="J88" s="4"/>
      <c r="K88" s="4"/>
    </row>
    <row r="89" spans="1:11" s="4" customFormat="1" x14ac:dyDescent="0.3">
      <c r="A89" s="45">
        <v>61</v>
      </c>
      <c r="B89" s="2" t="s">
        <v>211</v>
      </c>
      <c r="C89" s="3" t="s">
        <v>212</v>
      </c>
      <c r="D89" s="1" t="s">
        <v>213</v>
      </c>
      <c r="E89" s="1" t="s">
        <v>16</v>
      </c>
      <c r="F89" s="46">
        <f>ΑΝΑΛ.ΠΡΟΜ.OIK!G81</f>
        <v>19.053736000000004</v>
      </c>
      <c r="G89" s="20"/>
      <c r="H89" s="23"/>
      <c r="I89" s="27"/>
    </row>
    <row r="90" spans="1:11" x14ac:dyDescent="0.3">
      <c r="A90" s="45">
        <v>62</v>
      </c>
      <c r="B90" s="2" t="s">
        <v>214</v>
      </c>
      <c r="C90" s="3" t="s">
        <v>215</v>
      </c>
      <c r="D90" s="1" t="s">
        <v>216</v>
      </c>
      <c r="E90" s="1" t="s">
        <v>12</v>
      </c>
      <c r="F90" s="46">
        <f>ΑΝΑΛ.ΠΡΟΜ.OIK!G82</f>
        <v>785.49</v>
      </c>
      <c r="G90" s="20"/>
      <c r="H90" s="23"/>
      <c r="I90" s="27"/>
      <c r="J90" s="4"/>
      <c r="K90" s="4"/>
    </row>
    <row r="91" spans="1:11" s="4" customFormat="1" x14ac:dyDescent="0.3">
      <c r="A91" s="45">
        <v>63</v>
      </c>
      <c r="B91" s="2" t="s">
        <v>217</v>
      </c>
      <c r="C91" s="3" t="s">
        <v>218</v>
      </c>
      <c r="D91" s="1" t="s">
        <v>216</v>
      </c>
      <c r="E91" s="1" t="s">
        <v>12</v>
      </c>
      <c r="F91" s="46">
        <f>ΑΝΑΛ.ΠΡΟΜ.OIK!G83</f>
        <v>785.49</v>
      </c>
      <c r="G91" s="20"/>
      <c r="H91" s="23"/>
      <c r="I91" s="27"/>
    </row>
    <row r="92" spans="1:11" ht="27.6" x14ac:dyDescent="0.3">
      <c r="A92" s="45"/>
      <c r="B92" s="9" t="s">
        <v>219</v>
      </c>
      <c r="C92" s="6" t="s">
        <v>220</v>
      </c>
      <c r="D92" s="1"/>
      <c r="E92" s="1" t="s">
        <v>6</v>
      </c>
      <c r="F92" s="46"/>
      <c r="G92" s="20"/>
      <c r="H92" s="23"/>
      <c r="I92" s="27"/>
      <c r="J92" s="4"/>
      <c r="K92" s="4"/>
    </row>
    <row r="93" spans="1:11" x14ac:dyDescent="0.3">
      <c r="A93" s="45">
        <v>64</v>
      </c>
      <c r="B93" s="2" t="s">
        <v>221</v>
      </c>
      <c r="C93" s="3" t="s">
        <v>222</v>
      </c>
      <c r="D93" s="1" t="s">
        <v>223</v>
      </c>
      <c r="E93" s="1" t="s">
        <v>12</v>
      </c>
      <c r="F93" s="46">
        <f>ΑΝΑΛ.ΠΡΟΜ.OIK!G85</f>
        <v>44.478000000000002</v>
      </c>
      <c r="G93" s="20"/>
      <c r="H93" s="23"/>
      <c r="I93" s="27"/>
      <c r="J93" s="4"/>
      <c r="K93" s="4"/>
    </row>
    <row r="94" spans="1:11" x14ac:dyDescent="0.3">
      <c r="A94" s="45">
        <v>65</v>
      </c>
      <c r="B94" s="2" t="s">
        <v>224</v>
      </c>
      <c r="C94" s="3" t="s">
        <v>225</v>
      </c>
      <c r="D94" s="1" t="s">
        <v>223</v>
      </c>
      <c r="E94" s="1" t="s">
        <v>12</v>
      </c>
      <c r="F94" s="46">
        <f>ΑΝΑΛ.ΠΡΟΜ.OIK!G86</f>
        <v>35.489999999999995</v>
      </c>
      <c r="G94" s="20"/>
      <c r="H94" s="23"/>
      <c r="I94" s="27"/>
      <c r="J94" s="4"/>
      <c r="K94" s="4"/>
    </row>
    <row r="95" spans="1:11" x14ac:dyDescent="0.3">
      <c r="A95" s="45"/>
      <c r="B95" s="9" t="s">
        <v>226</v>
      </c>
      <c r="C95" s="6" t="s">
        <v>227</v>
      </c>
      <c r="D95" s="1"/>
      <c r="E95" s="1" t="s">
        <v>6</v>
      </c>
      <c r="F95" s="46"/>
      <c r="G95" s="20"/>
      <c r="H95" s="23"/>
      <c r="I95" s="27"/>
      <c r="J95" s="4"/>
      <c r="K95" s="4"/>
    </row>
    <row r="96" spans="1:11" s="4" customFormat="1" x14ac:dyDescent="0.3">
      <c r="A96" s="45">
        <v>66</v>
      </c>
      <c r="B96" s="2" t="s">
        <v>228</v>
      </c>
      <c r="C96" s="3" t="s">
        <v>229</v>
      </c>
      <c r="D96" s="1" t="s">
        <v>230</v>
      </c>
      <c r="E96" s="1" t="s">
        <v>69</v>
      </c>
      <c r="F96" s="46">
        <f>ΑΝΑΛ.ΠΡΟΜ.OIK!G87</f>
        <v>4.9000000000000004</v>
      </c>
      <c r="G96" s="20"/>
      <c r="H96" s="23"/>
      <c r="I96" s="27"/>
    </row>
    <row r="97" spans="1:12" x14ac:dyDescent="0.3">
      <c r="A97" s="45"/>
      <c r="B97" s="63">
        <v>49</v>
      </c>
      <c r="C97" s="6" t="s">
        <v>231</v>
      </c>
      <c r="D97" s="1" t="s">
        <v>6</v>
      </c>
      <c r="E97" s="1" t="s">
        <v>6</v>
      </c>
      <c r="F97" s="46"/>
      <c r="G97" s="20"/>
      <c r="H97" s="23"/>
      <c r="I97" s="27"/>
      <c r="J97" s="4"/>
      <c r="K97" s="4"/>
    </row>
    <row r="98" spans="1:12" x14ac:dyDescent="0.3">
      <c r="A98" s="45">
        <v>67</v>
      </c>
      <c r="B98" s="2" t="s">
        <v>232</v>
      </c>
      <c r="C98" s="3" t="s">
        <v>233</v>
      </c>
      <c r="D98" s="1" t="s">
        <v>234</v>
      </c>
      <c r="E98" s="1" t="s">
        <v>56</v>
      </c>
      <c r="F98" s="46">
        <f>ΑΝΑΛ.ΠΡΟΜ.OIK!G89</f>
        <v>14.41</v>
      </c>
      <c r="G98" s="20"/>
      <c r="H98" s="23"/>
      <c r="I98" s="27"/>
      <c r="J98" s="4"/>
      <c r="K98" s="4"/>
    </row>
    <row r="99" spans="1:12" x14ac:dyDescent="0.3">
      <c r="A99" s="45">
        <v>68</v>
      </c>
      <c r="B99" s="2" t="s">
        <v>235</v>
      </c>
      <c r="C99" s="3" t="s">
        <v>236</v>
      </c>
      <c r="D99" s="1" t="s">
        <v>234</v>
      </c>
      <c r="E99" s="1" t="s">
        <v>56</v>
      </c>
      <c r="F99" s="46">
        <f>ΑΝΑΛ.ΠΡΟΜ.OIK!G90</f>
        <v>10.92</v>
      </c>
      <c r="G99" s="20"/>
      <c r="H99" s="23"/>
      <c r="I99" s="27"/>
      <c r="J99" s="4"/>
      <c r="K99" s="4"/>
    </row>
    <row r="100" spans="1:12" s="4" customFormat="1" x14ac:dyDescent="0.3">
      <c r="A100" s="47">
        <v>69</v>
      </c>
      <c r="B100" s="2" t="s">
        <v>237</v>
      </c>
      <c r="C100" s="3" t="s">
        <v>238</v>
      </c>
      <c r="D100" s="1" t="s">
        <v>234</v>
      </c>
      <c r="E100" s="1" t="s">
        <v>56</v>
      </c>
      <c r="F100" s="46">
        <f>ΑΝΑΛ.ΠΡΟΜ.OIK!G91</f>
        <v>57.100000000000009</v>
      </c>
      <c r="G100" s="20"/>
      <c r="H100" s="23"/>
      <c r="I100" s="27"/>
    </row>
    <row r="101" spans="1:12" s="68" customFormat="1" ht="20.100000000000001" customHeight="1" x14ac:dyDescent="0.3">
      <c r="A101" s="64" t="s">
        <v>6</v>
      </c>
      <c r="B101" s="71" t="s">
        <v>439</v>
      </c>
      <c r="C101" s="53" t="s">
        <v>440</v>
      </c>
      <c r="D101" s="66" t="s">
        <v>6</v>
      </c>
      <c r="E101" s="67" t="s">
        <v>6</v>
      </c>
      <c r="F101" s="67"/>
      <c r="G101" s="20"/>
      <c r="H101" s="23"/>
      <c r="I101" s="27"/>
      <c r="J101" s="4"/>
      <c r="K101" s="4"/>
      <c r="L101"/>
    </row>
    <row r="102" spans="1:12" x14ac:dyDescent="0.3">
      <c r="A102" s="47"/>
      <c r="B102" s="9" t="s">
        <v>239</v>
      </c>
      <c r="C102" s="6" t="s">
        <v>240</v>
      </c>
      <c r="D102" s="1"/>
      <c r="E102" s="1" t="s">
        <v>6</v>
      </c>
      <c r="F102" s="46"/>
      <c r="G102" s="20"/>
      <c r="H102" s="23"/>
      <c r="I102" s="27"/>
      <c r="J102" s="4"/>
      <c r="K102" s="4"/>
    </row>
    <row r="103" spans="1:12" s="4" customFormat="1" x14ac:dyDescent="0.3">
      <c r="A103" s="45">
        <v>70</v>
      </c>
      <c r="B103" s="2" t="s">
        <v>241</v>
      </c>
      <c r="C103" s="3" t="s">
        <v>242</v>
      </c>
      <c r="D103" s="1" t="s">
        <v>243</v>
      </c>
      <c r="E103" s="1" t="s">
        <v>16</v>
      </c>
      <c r="F103" s="46">
        <f>ΑΝΑΛ.ΠΡΟΜ.OIK!G94</f>
        <v>5.9216999999999995</v>
      </c>
      <c r="G103" s="20"/>
      <c r="H103" s="23"/>
      <c r="I103" s="27"/>
    </row>
    <row r="104" spans="1:12" s="4" customFormat="1" x14ac:dyDescent="0.3">
      <c r="A104" s="45">
        <v>71</v>
      </c>
      <c r="B104" s="2" t="s">
        <v>244</v>
      </c>
      <c r="C104" s="3" t="s">
        <v>245</v>
      </c>
      <c r="D104" s="1" t="s">
        <v>246</v>
      </c>
      <c r="E104" s="1" t="s">
        <v>16</v>
      </c>
      <c r="F104" s="46">
        <f>ΑΝΑΛ.ΠΡΟΜ.OIK!G95</f>
        <v>1.03</v>
      </c>
      <c r="G104" s="20"/>
      <c r="H104" s="23"/>
      <c r="I104" s="27"/>
    </row>
    <row r="105" spans="1:12" s="4" customFormat="1" x14ac:dyDescent="0.3">
      <c r="A105" s="45">
        <v>72</v>
      </c>
      <c r="B105" s="2" t="s">
        <v>247</v>
      </c>
      <c r="C105" s="3" t="s">
        <v>248</v>
      </c>
      <c r="D105" s="1" t="s">
        <v>246</v>
      </c>
      <c r="E105" s="1" t="s">
        <v>16</v>
      </c>
      <c r="F105" s="46">
        <f>ΑΝΑΛ.ΠΡΟΜ.OIK!G96</f>
        <v>0.4</v>
      </c>
      <c r="G105" s="20"/>
      <c r="H105" s="23"/>
      <c r="I105" s="27"/>
    </row>
    <row r="106" spans="1:12" s="4" customFormat="1" x14ac:dyDescent="0.3">
      <c r="A106" s="45">
        <v>73</v>
      </c>
      <c r="B106" s="2" t="s">
        <v>249</v>
      </c>
      <c r="C106" s="3" t="s">
        <v>250</v>
      </c>
      <c r="D106" s="1" t="s">
        <v>251</v>
      </c>
      <c r="E106" s="1" t="s">
        <v>16</v>
      </c>
      <c r="F106" s="46">
        <f>ΑΝΑΛ.ΠΡΟΜ.OIK!G97</f>
        <v>2.4</v>
      </c>
      <c r="G106" s="20"/>
      <c r="H106" s="23"/>
      <c r="I106" s="27"/>
    </row>
    <row r="107" spans="1:12" x14ac:dyDescent="0.3">
      <c r="A107" s="45"/>
      <c r="B107" s="9" t="s">
        <v>252</v>
      </c>
      <c r="C107" s="6" t="s">
        <v>253</v>
      </c>
      <c r="D107" s="1"/>
      <c r="E107" s="1" t="s">
        <v>6</v>
      </c>
      <c r="F107" s="46"/>
      <c r="G107" s="20"/>
      <c r="H107" s="23"/>
      <c r="I107" s="27"/>
      <c r="J107" s="4"/>
      <c r="K107" s="4"/>
    </row>
    <row r="108" spans="1:12" s="4" customFormat="1" x14ac:dyDescent="0.3">
      <c r="A108" s="45">
        <v>74</v>
      </c>
      <c r="B108" s="2" t="s">
        <v>254</v>
      </c>
      <c r="C108" s="3" t="s">
        <v>255</v>
      </c>
      <c r="D108" s="1" t="s">
        <v>256</v>
      </c>
      <c r="E108" s="1" t="s">
        <v>16</v>
      </c>
      <c r="F108" s="46">
        <f>ΑΝΑΛ.ΠΡΟΜ.OIK!G99</f>
        <v>8.1039360000000009</v>
      </c>
      <c r="G108" s="20"/>
      <c r="H108" s="23"/>
      <c r="I108" s="27"/>
    </row>
    <row r="109" spans="1:12" x14ac:dyDescent="0.3">
      <c r="A109" s="45"/>
      <c r="B109" s="9" t="s">
        <v>257</v>
      </c>
      <c r="C109" s="6" t="s">
        <v>258</v>
      </c>
      <c r="D109" s="72"/>
      <c r="E109" s="72"/>
      <c r="F109" s="46"/>
      <c r="G109" s="20"/>
      <c r="H109" s="23"/>
      <c r="I109" s="27"/>
      <c r="J109" s="4"/>
      <c r="K109" s="4"/>
    </row>
    <row r="110" spans="1:12" s="4" customFormat="1" x14ac:dyDescent="0.3">
      <c r="A110" s="45">
        <v>75</v>
      </c>
      <c r="B110" s="2" t="s">
        <v>259</v>
      </c>
      <c r="C110" s="3" t="s">
        <v>260</v>
      </c>
      <c r="D110" s="1" t="s">
        <v>261</v>
      </c>
      <c r="E110" s="1" t="s">
        <v>16</v>
      </c>
      <c r="F110" s="46">
        <f>ΑΝΑΛ.ΠΡΟΜ.OIK!G101</f>
        <v>2.2647333333333339</v>
      </c>
      <c r="G110" s="20"/>
      <c r="H110" s="23"/>
      <c r="I110" s="27"/>
    </row>
    <row r="111" spans="1:12" x14ac:dyDescent="0.3">
      <c r="A111" s="45"/>
      <c r="B111" s="9" t="s">
        <v>262</v>
      </c>
      <c r="C111" s="6" t="s">
        <v>263</v>
      </c>
      <c r="D111" s="1"/>
      <c r="E111" s="1" t="s">
        <v>6</v>
      </c>
      <c r="F111" s="46"/>
      <c r="G111" s="20"/>
      <c r="H111" s="23"/>
      <c r="I111" s="27"/>
      <c r="J111" s="4"/>
      <c r="K111" s="4"/>
    </row>
    <row r="112" spans="1:12" s="4" customFormat="1" x14ac:dyDescent="0.3">
      <c r="A112" s="45">
        <v>76</v>
      </c>
      <c r="B112" s="2" t="s">
        <v>264</v>
      </c>
      <c r="C112" s="3" t="s">
        <v>265</v>
      </c>
      <c r="D112" s="1" t="s">
        <v>266</v>
      </c>
      <c r="E112" s="1" t="s">
        <v>12</v>
      </c>
      <c r="F112" s="46">
        <f>ΑΝΑΛ.ΠΡΟΜ.OIK!G103</f>
        <v>303.59448000000003</v>
      </c>
      <c r="G112" s="20"/>
      <c r="H112" s="23"/>
      <c r="I112" s="27"/>
    </row>
    <row r="113" spans="1:9" s="4" customFormat="1" x14ac:dyDescent="0.3">
      <c r="A113" s="45">
        <v>77</v>
      </c>
      <c r="B113" s="2" t="s">
        <v>267</v>
      </c>
      <c r="C113" s="3" t="s">
        <v>268</v>
      </c>
      <c r="D113" s="1" t="s">
        <v>269</v>
      </c>
      <c r="E113" s="1" t="s">
        <v>12</v>
      </c>
      <c r="F113" s="46">
        <f>ΑΝΑΛ.ΠΡΟΜ.OIK!G104</f>
        <v>252.99540000000002</v>
      </c>
      <c r="G113" s="20"/>
      <c r="H113" s="23"/>
      <c r="I113" s="27"/>
    </row>
    <row r="114" spans="1:9" x14ac:dyDescent="0.3">
      <c r="A114" s="45"/>
      <c r="B114" s="63">
        <v>53</v>
      </c>
      <c r="C114" s="6" t="s">
        <v>270</v>
      </c>
      <c r="D114" s="1" t="s">
        <v>6</v>
      </c>
      <c r="E114" s="1" t="s">
        <v>6</v>
      </c>
      <c r="F114" s="46"/>
      <c r="G114" s="20"/>
      <c r="H114" s="23"/>
      <c r="I114" s="26"/>
    </row>
    <row r="115" spans="1:9" s="4" customFormat="1" x14ac:dyDescent="0.3">
      <c r="A115" s="45">
        <v>78</v>
      </c>
      <c r="B115" s="2" t="s">
        <v>271</v>
      </c>
      <c r="C115" s="3" t="s">
        <v>272</v>
      </c>
      <c r="D115" s="1" t="s">
        <v>273</v>
      </c>
      <c r="E115" s="1" t="s">
        <v>12</v>
      </c>
      <c r="F115" s="46">
        <f>ΑΝΑΛ.ΠΡΟΜ.OIK!G106</f>
        <v>372.37574999999998</v>
      </c>
      <c r="G115" s="20"/>
      <c r="H115" s="23"/>
      <c r="I115" s="27"/>
    </row>
    <row r="116" spans="1:9" x14ac:dyDescent="0.3">
      <c r="A116" s="45"/>
      <c r="B116" s="9" t="s">
        <v>274</v>
      </c>
      <c r="C116" s="6" t="s">
        <v>275</v>
      </c>
      <c r="D116" s="1"/>
      <c r="E116" s="1" t="s">
        <v>6</v>
      </c>
      <c r="F116" s="46"/>
      <c r="G116" s="20"/>
      <c r="H116" s="23"/>
      <c r="I116" s="26"/>
    </row>
    <row r="117" spans="1:9" x14ac:dyDescent="0.3">
      <c r="A117" s="47">
        <v>79</v>
      </c>
      <c r="B117" s="2" t="s">
        <v>276</v>
      </c>
      <c r="C117" s="3" t="s">
        <v>277</v>
      </c>
      <c r="D117" s="1" t="s">
        <v>278</v>
      </c>
      <c r="E117" s="1" t="s">
        <v>69</v>
      </c>
      <c r="F117" s="46">
        <f>ΑΝΑΛ.ΠΡΟΜ.OIK!G108</f>
        <v>199.261</v>
      </c>
      <c r="G117" s="20"/>
      <c r="H117" s="23"/>
      <c r="I117" s="26"/>
    </row>
    <row r="118" spans="1:9" s="4" customFormat="1" x14ac:dyDescent="0.3">
      <c r="A118" s="47">
        <v>80</v>
      </c>
      <c r="B118" s="2" t="s">
        <v>279</v>
      </c>
      <c r="C118" s="3" t="s">
        <v>280</v>
      </c>
      <c r="D118" s="1" t="s">
        <v>281</v>
      </c>
      <c r="E118" s="1" t="s">
        <v>69</v>
      </c>
      <c r="F118" s="46">
        <f>ΑΝΑΛ.ΠΡΟΜ.OIK!G109</f>
        <v>269.7</v>
      </c>
      <c r="G118" s="20"/>
      <c r="H118" s="23"/>
      <c r="I118" s="27"/>
    </row>
    <row r="119" spans="1:9" s="4" customFormat="1" ht="27.6" x14ac:dyDescent="0.3">
      <c r="A119" s="47">
        <v>81</v>
      </c>
      <c r="B119" s="2" t="s">
        <v>362</v>
      </c>
      <c r="C119" s="3" t="s">
        <v>363</v>
      </c>
      <c r="D119" s="1" t="s">
        <v>364</v>
      </c>
      <c r="E119" s="1" t="s">
        <v>12</v>
      </c>
      <c r="F119" s="46">
        <f>ΑΝΑΛ.ΠΡΟΜ.OIK!G110</f>
        <v>37.42</v>
      </c>
      <c r="G119" s="20"/>
      <c r="H119" s="23"/>
      <c r="I119" s="27"/>
    </row>
    <row r="120" spans="1:9" s="4" customFormat="1" ht="27.6" x14ac:dyDescent="0.3">
      <c r="A120" s="47">
        <v>82</v>
      </c>
      <c r="B120" s="2" t="s">
        <v>365</v>
      </c>
      <c r="C120" s="3" t="s">
        <v>366</v>
      </c>
      <c r="D120" s="1" t="s">
        <v>367</v>
      </c>
      <c r="E120" s="1" t="s">
        <v>12</v>
      </c>
      <c r="F120" s="46">
        <f>ΑΝΑΛ.ΠΡΟΜ.OIK!G111</f>
        <v>9</v>
      </c>
      <c r="G120" s="20"/>
      <c r="H120" s="23"/>
      <c r="I120" s="27"/>
    </row>
    <row r="121" spans="1:9" s="4" customFormat="1" x14ac:dyDescent="0.3">
      <c r="A121" s="47">
        <v>83</v>
      </c>
      <c r="B121" s="2" t="s">
        <v>371</v>
      </c>
      <c r="C121" s="3" t="s">
        <v>372</v>
      </c>
      <c r="D121" s="1" t="s">
        <v>373</v>
      </c>
      <c r="E121" s="1" t="s">
        <v>12</v>
      </c>
      <c r="F121" s="46">
        <f>ΑΝΑΛ.ΠΡΟΜ.OIK!G112</f>
        <v>69.319999999999993</v>
      </c>
      <c r="G121" s="20"/>
      <c r="H121" s="23"/>
      <c r="I121" s="27"/>
    </row>
    <row r="122" spans="1:9" x14ac:dyDescent="0.3">
      <c r="A122" s="51"/>
      <c r="B122" s="52">
        <v>55</v>
      </c>
      <c r="C122" s="53" t="s">
        <v>282</v>
      </c>
      <c r="D122" s="54" t="s">
        <v>6</v>
      </c>
      <c r="E122" s="54" t="s">
        <v>6</v>
      </c>
      <c r="F122" s="70"/>
      <c r="G122" s="20"/>
      <c r="H122" s="23"/>
      <c r="I122" s="26"/>
    </row>
    <row r="123" spans="1:9" x14ac:dyDescent="0.3">
      <c r="A123" s="45">
        <v>84</v>
      </c>
      <c r="B123" s="2" t="s">
        <v>283</v>
      </c>
      <c r="C123" s="3" t="s">
        <v>284</v>
      </c>
      <c r="D123" s="1" t="s">
        <v>285</v>
      </c>
      <c r="E123" s="1" t="s">
        <v>56</v>
      </c>
      <c r="F123" s="46">
        <f>ΑΝΑΛ.ΠΡΟΜ.OIK!G114</f>
        <v>4.8499999999999996</v>
      </c>
      <c r="G123" s="20"/>
      <c r="H123" s="23"/>
      <c r="I123" s="26"/>
    </row>
    <row r="124" spans="1:9" x14ac:dyDescent="0.3">
      <c r="A124" s="45"/>
      <c r="B124" s="2" t="s">
        <v>286</v>
      </c>
      <c r="C124" s="3" t="s">
        <v>287</v>
      </c>
      <c r="D124" s="1"/>
      <c r="E124" s="1" t="s">
        <v>6</v>
      </c>
      <c r="F124" s="46"/>
      <c r="G124" s="20"/>
      <c r="H124" s="23"/>
      <c r="I124" s="26"/>
    </row>
    <row r="125" spans="1:9" x14ac:dyDescent="0.3">
      <c r="A125" s="45">
        <v>85</v>
      </c>
      <c r="B125" s="2" t="s">
        <v>288</v>
      </c>
      <c r="C125" s="3" t="s">
        <v>284</v>
      </c>
      <c r="D125" s="1" t="s">
        <v>289</v>
      </c>
      <c r="E125" s="1" t="s">
        <v>56</v>
      </c>
      <c r="F125" s="46">
        <f>ΑΝΑΛ.ΠΡΟΜ.OIK!G116</f>
        <v>4.8499999999999996</v>
      </c>
      <c r="G125" s="20"/>
      <c r="H125" s="23"/>
      <c r="I125" s="26"/>
    </row>
    <row r="126" spans="1:9" x14ac:dyDescent="0.3">
      <c r="A126" s="45"/>
      <c r="B126" s="2" t="s">
        <v>290</v>
      </c>
      <c r="C126" s="3" t="s">
        <v>291</v>
      </c>
      <c r="D126" s="1"/>
      <c r="E126" s="1" t="s">
        <v>6</v>
      </c>
      <c r="F126" s="46"/>
      <c r="G126" s="20"/>
      <c r="H126" s="23"/>
      <c r="I126" s="26"/>
    </row>
    <row r="127" spans="1:9" x14ac:dyDescent="0.3">
      <c r="A127" s="45">
        <v>86</v>
      </c>
      <c r="B127" s="2" t="s">
        <v>292</v>
      </c>
      <c r="C127" s="3" t="s">
        <v>284</v>
      </c>
      <c r="D127" s="1" t="s">
        <v>293</v>
      </c>
      <c r="E127" s="1" t="s">
        <v>56</v>
      </c>
      <c r="F127" s="46">
        <f>ΑΝΑΛ.ΠΡΟΜ.OIK!G118</f>
        <v>4.8499999999999996</v>
      </c>
      <c r="G127" s="20"/>
      <c r="H127" s="23"/>
      <c r="I127" s="26"/>
    </row>
    <row r="128" spans="1:9" x14ac:dyDescent="0.3">
      <c r="A128" s="51"/>
      <c r="B128" s="52">
        <v>61</v>
      </c>
      <c r="C128" s="53" t="s">
        <v>294</v>
      </c>
      <c r="D128" s="73"/>
      <c r="E128" s="73"/>
      <c r="F128" s="70"/>
      <c r="G128" s="20"/>
      <c r="H128" s="23"/>
      <c r="I128" s="26"/>
    </row>
    <row r="129" spans="1:10" x14ac:dyDescent="0.3">
      <c r="A129" s="47">
        <v>87</v>
      </c>
      <c r="B129" s="2" t="s">
        <v>295</v>
      </c>
      <c r="C129" s="3" t="s">
        <v>296</v>
      </c>
      <c r="D129" s="1" t="s">
        <v>297</v>
      </c>
      <c r="E129" s="1" t="s">
        <v>142</v>
      </c>
      <c r="F129" s="46">
        <f>ΑΝΑΛ.ΠΡΟΜ.OIK!G120</f>
        <v>10190.22712576</v>
      </c>
      <c r="G129" s="20"/>
      <c r="H129" s="23"/>
      <c r="I129" s="26"/>
    </row>
    <row r="130" spans="1:10" x14ac:dyDescent="0.3">
      <c r="A130" s="47">
        <v>88</v>
      </c>
      <c r="B130" s="2" t="s">
        <v>298</v>
      </c>
      <c r="C130" s="3" t="s">
        <v>299</v>
      </c>
      <c r="D130" s="1" t="s">
        <v>300</v>
      </c>
      <c r="E130" s="1" t="s">
        <v>56</v>
      </c>
      <c r="F130" s="46">
        <f>ΑΝΑΛ.ΠΡΟΜ.OIK!G121</f>
        <v>6.9</v>
      </c>
      <c r="G130" s="20"/>
      <c r="H130" s="23"/>
      <c r="I130" s="26"/>
    </row>
    <row r="131" spans="1:10" x14ac:dyDescent="0.3">
      <c r="A131" s="47">
        <v>89</v>
      </c>
      <c r="B131" s="2" t="s">
        <v>301</v>
      </c>
      <c r="C131" s="3" t="s">
        <v>302</v>
      </c>
      <c r="D131" s="1" t="s">
        <v>303</v>
      </c>
      <c r="E131" s="1" t="s">
        <v>56</v>
      </c>
      <c r="F131" s="46">
        <f>ΑΝΑΛ.ΠΡΟΜ.OIK!G122</f>
        <v>83.1</v>
      </c>
      <c r="G131" s="20"/>
      <c r="H131" s="23"/>
      <c r="I131" s="26"/>
    </row>
    <row r="132" spans="1:10" x14ac:dyDescent="0.3">
      <c r="A132" s="51"/>
      <c r="B132" s="52">
        <v>62</v>
      </c>
      <c r="C132" s="53" t="s">
        <v>304</v>
      </c>
      <c r="D132" s="73"/>
      <c r="E132" s="73"/>
      <c r="F132" s="70"/>
      <c r="G132" s="20"/>
      <c r="H132" s="23"/>
      <c r="I132" s="26"/>
    </row>
    <row r="133" spans="1:10" x14ac:dyDescent="0.3">
      <c r="A133" s="47">
        <v>90</v>
      </c>
      <c r="B133" s="2" t="s">
        <v>305</v>
      </c>
      <c r="C133" s="3" t="s">
        <v>306</v>
      </c>
      <c r="D133" s="1" t="s">
        <v>307</v>
      </c>
      <c r="E133" s="1" t="s">
        <v>12</v>
      </c>
      <c r="F133" s="46">
        <f>ΑΝΑΛ.ΠΡΟΜ.OIK!G124</f>
        <v>19.68</v>
      </c>
      <c r="G133" s="20"/>
      <c r="H133" s="23"/>
      <c r="I133" s="26"/>
    </row>
    <row r="134" spans="1:10" x14ac:dyDescent="0.3">
      <c r="A134" s="51"/>
      <c r="B134" s="52">
        <v>64</v>
      </c>
      <c r="C134" s="53" t="s">
        <v>308</v>
      </c>
      <c r="D134" s="73"/>
      <c r="E134" s="73"/>
      <c r="F134" s="70"/>
      <c r="G134" s="20"/>
      <c r="H134" s="23"/>
      <c r="I134" s="26"/>
    </row>
    <row r="135" spans="1:10" s="4" customFormat="1" x14ac:dyDescent="0.3">
      <c r="A135" s="45">
        <v>91</v>
      </c>
      <c r="B135" s="2" t="s">
        <v>309</v>
      </c>
      <c r="C135" s="3" t="s">
        <v>310</v>
      </c>
      <c r="D135" s="1" t="s">
        <v>311</v>
      </c>
      <c r="E135" s="1" t="s">
        <v>142</v>
      </c>
      <c r="F135" s="46">
        <f>ΑΝΑΛ.ΠΡΟΜ.OIK!G126</f>
        <v>416.99200000000002</v>
      </c>
      <c r="G135" s="20"/>
      <c r="H135" s="23"/>
      <c r="I135" s="27"/>
    </row>
    <row r="136" spans="1:10" x14ac:dyDescent="0.3">
      <c r="A136" s="51"/>
      <c r="B136" s="52">
        <v>73</v>
      </c>
      <c r="C136" s="53" t="s">
        <v>312</v>
      </c>
      <c r="D136" s="73"/>
      <c r="E136" s="73"/>
      <c r="F136" s="70"/>
      <c r="G136" s="20"/>
      <c r="H136" s="23"/>
      <c r="I136" s="26"/>
    </row>
    <row r="137" spans="1:10" x14ac:dyDescent="0.3">
      <c r="A137" s="47">
        <v>92</v>
      </c>
      <c r="B137" s="2" t="s">
        <v>313</v>
      </c>
      <c r="C137" s="3" t="s">
        <v>314</v>
      </c>
      <c r="D137" s="1" t="s">
        <v>315</v>
      </c>
      <c r="E137" s="1" t="s">
        <v>12</v>
      </c>
      <c r="F137" s="46">
        <f>ΑΝΑΛ.ΠΡΟΜ.OIK!G128</f>
        <v>238.17020000000002</v>
      </c>
      <c r="G137" s="20"/>
      <c r="H137" s="23"/>
      <c r="I137" s="26"/>
    </row>
    <row r="138" spans="1:10" s="4" customFormat="1" x14ac:dyDescent="0.3">
      <c r="A138" s="47">
        <v>93</v>
      </c>
      <c r="B138" s="2" t="s">
        <v>316</v>
      </c>
      <c r="C138" s="3" t="s">
        <v>317</v>
      </c>
      <c r="D138" s="1" t="s">
        <v>315</v>
      </c>
      <c r="E138" s="1" t="s">
        <v>12</v>
      </c>
      <c r="F138" s="46">
        <f>ΑΝΑΛ.ΠΡΟΜ.OIK!G129</f>
        <v>28.5</v>
      </c>
      <c r="G138" s="20"/>
      <c r="H138" s="23"/>
      <c r="I138" s="27"/>
    </row>
    <row r="139" spans="1:10" x14ac:dyDescent="0.3">
      <c r="A139" s="47">
        <v>94</v>
      </c>
      <c r="B139" s="2" t="s">
        <v>318</v>
      </c>
      <c r="C139" s="3" t="s">
        <v>319</v>
      </c>
      <c r="D139" s="1" t="s">
        <v>320</v>
      </c>
      <c r="E139" s="1" t="s">
        <v>12</v>
      </c>
      <c r="F139" s="46">
        <f>ΑΝΑΛ.ΠΡΟΜ.OIK!G130</f>
        <v>23.33</v>
      </c>
      <c r="G139" s="20"/>
      <c r="H139" s="23"/>
      <c r="I139" s="26"/>
    </row>
    <row r="140" spans="1:10" x14ac:dyDescent="0.3">
      <c r="A140" s="47">
        <v>95</v>
      </c>
      <c r="B140" s="2" t="s">
        <v>321</v>
      </c>
      <c r="C140" s="3" t="s">
        <v>322</v>
      </c>
      <c r="D140" s="1" t="s">
        <v>323</v>
      </c>
      <c r="E140" s="1" t="s">
        <v>12</v>
      </c>
      <c r="F140" s="46">
        <f>ΑΝΑΛ.ΠΡΟΜ.OIK!G131</f>
        <v>95.123999999999995</v>
      </c>
      <c r="G140" s="20"/>
      <c r="H140" s="23"/>
      <c r="I140" s="26"/>
    </row>
    <row r="141" spans="1:10" x14ac:dyDescent="0.3">
      <c r="A141" s="47">
        <v>96</v>
      </c>
      <c r="B141" s="2" t="s">
        <v>324</v>
      </c>
      <c r="C141" s="3" t="s">
        <v>325</v>
      </c>
      <c r="D141" s="1" t="s">
        <v>326</v>
      </c>
      <c r="E141" s="1" t="s">
        <v>69</v>
      </c>
      <c r="F141" s="46">
        <f>ΑΝΑΛ.ΠΡΟΜ.OIK!G132</f>
        <v>57.100000000000009</v>
      </c>
      <c r="G141" s="20"/>
      <c r="H141" s="23"/>
      <c r="I141" s="26"/>
    </row>
    <row r="142" spans="1:10" x14ac:dyDescent="0.3">
      <c r="A142" s="51"/>
      <c r="B142" s="52">
        <v>75</v>
      </c>
      <c r="C142" s="53" t="s">
        <v>377</v>
      </c>
      <c r="D142" s="54"/>
      <c r="E142" s="54"/>
      <c r="F142" s="70"/>
      <c r="G142" s="20"/>
      <c r="H142" s="23"/>
      <c r="I142" s="26"/>
    </row>
    <row r="143" spans="1:10" s="4" customFormat="1" ht="27.75" customHeight="1" x14ac:dyDescent="0.3">
      <c r="A143" s="45">
        <v>97</v>
      </c>
      <c r="B143" s="2" t="s">
        <v>327</v>
      </c>
      <c r="C143" s="3" t="s">
        <v>328</v>
      </c>
      <c r="D143" s="1" t="s">
        <v>329</v>
      </c>
      <c r="E143" s="1" t="s">
        <v>12</v>
      </c>
      <c r="F143" s="46">
        <f>ΑΝΑΛ.ΠΡΟΜ.OIK!G134</f>
        <v>2.2949999999999999</v>
      </c>
      <c r="G143" s="20"/>
      <c r="H143" s="23"/>
      <c r="I143" s="11"/>
      <c r="J143" s="12" t="s">
        <v>6</v>
      </c>
    </row>
    <row r="144" spans="1:10" ht="25.5" customHeight="1" x14ac:dyDescent="0.3">
      <c r="A144" s="45"/>
      <c r="B144" s="2" t="s">
        <v>330</v>
      </c>
      <c r="C144" s="3" t="s">
        <v>331</v>
      </c>
      <c r="D144" s="3"/>
      <c r="E144" s="3"/>
      <c r="F144" s="62"/>
      <c r="G144" s="17"/>
      <c r="H144" s="23"/>
      <c r="I144" s="27"/>
      <c r="J144" s="4"/>
    </row>
    <row r="145" spans="1:9" x14ac:dyDescent="0.3">
      <c r="A145" s="45">
        <v>98</v>
      </c>
      <c r="B145" s="2" t="s">
        <v>332</v>
      </c>
      <c r="C145" s="3" t="s">
        <v>333</v>
      </c>
      <c r="D145" s="1" t="s">
        <v>334</v>
      </c>
      <c r="E145" s="1" t="s">
        <v>12</v>
      </c>
      <c r="F145" s="46">
        <f>ΑΝΑΛ.ΠΡΟΜ.OIK!G136</f>
        <v>16.917000000000002</v>
      </c>
      <c r="G145" s="20"/>
      <c r="H145" s="23"/>
      <c r="I145" s="26"/>
    </row>
    <row r="146" spans="1:9" s="4" customFormat="1" x14ac:dyDescent="0.3">
      <c r="A146" s="51"/>
      <c r="B146" s="52">
        <v>76</v>
      </c>
      <c r="C146" s="53" t="s">
        <v>441</v>
      </c>
      <c r="D146" s="59"/>
      <c r="E146" s="59"/>
      <c r="F146" s="70"/>
      <c r="G146" s="22"/>
      <c r="H146" s="23"/>
      <c r="I146" s="27"/>
    </row>
    <row r="147" spans="1:9" s="4" customFormat="1" ht="29.25" customHeight="1" x14ac:dyDescent="0.3">
      <c r="A147" s="45">
        <v>99</v>
      </c>
      <c r="B147" s="7" t="s">
        <v>368</v>
      </c>
      <c r="C147" s="3" t="s">
        <v>369</v>
      </c>
      <c r="D147" s="1" t="s">
        <v>370</v>
      </c>
      <c r="E147" s="1" t="s">
        <v>12</v>
      </c>
      <c r="F147" s="46">
        <f>ΑΝΑΛ.ΠΡΟΜ.OIK!G138</f>
        <v>37.136000000000003</v>
      </c>
      <c r="G147" s="20"/>
      <c r="H147" s="23"/>
      <c r="I147" s="27"/>
    </row>
    <row r="148" spans="1:9" s="4" customFormat="1" x14ac:dyDescent="0.3">
      <c r="A148" s="51"/>
      <c r="B148" s="52">
        <v>79</v>
      </c>
      <c r="C148" s="53" t="s">
        <v>335</v>
      </c>
      <c r="D148" s="54" t="s">
        <v>6</v>
      </c>
      <c r="E148" s="54" t="s">
        <v>6</v>
      </c>
      <c r="F148" s="70"/>
      <c r="G148" s="20"/>
      <c r="H148" s="23"/>
      <c r="I148" s="27"/>
    </row>
    <row r="149" spans="1:9" s="4" customFormat="1" x14ac:dyDescent="0.3">
      <c r="A149" s="45">
        <v>100</v>
      </c>
      <c r="B149" s="2" t="s">
        <v>336</v>
      </c>
      <c r="C149" s="3" t="s">
        <v>337</v>
      </c>
      <c r="D149" s="1" t="s">
        <v>338</v>
      </c>
      <c r="E149" s="1" t="s">
        <v>12</v>
      </c>
      <c r="F149" s="46">
        <f>ΑΝΑΛ.ΠΡΟΜ.OIK!G140</f>
        <v>1139.1432</v>
      </c>
      <c r="G149" s="20"/>
      <c r="H149" s="23"/>
      <c r="I149" s="27"/>
    </row>
    <row r="150" spans="1:9" s="4" customFormat="1" x14ac:dyDescent="0.3">
      <c r="A150" s="45">
        <v>101</v>
      </c>
      <c r="B150" s="2" t="s">
        <v>339</v>
      </c>
      <c r="C150" s="3" t="s">
        <v>340</v>
      </c>
      <c r="D150" s="1" t="s">
        <v>341</v>
      </c>
      <c r="E150" s="1" t="s">
        <v>12</v>
      </c>
      <c r="F150" s="46">
        <f>ΑΝΑΛ.ΠΡΟΜ.OIK!G141</f>
        <v>222.04540000000003</v>
      </c>
      <c r="G150" s="20"/>
      <c r="H150" s="23"/>
      <c r="I150" s="27"/>
    </row>
    <row r="151" spans="1:9" s="4" customFormat="1" x14ac:dyDescent="0.3">
      <c r="A151" s="45">
        <v>102</v>
      </c>
      <c r="B151" s="2" t="s">
        <v>342</v>
      </c>
      <c r="C151" s="3" t="s">
        <v>343</v>
      </c>
      <c r="D151" s="1" t="s">
        <v>344</v>
      </c>
      <c r="E151" s="1" t="s">
        <v>142</v>
      </c>
      <c r="F151" s="46">
        <f>ΑΝΑΛ.ΠΡΟΜ.OIK!G142</f>
        <v>600.38049999999998</v>
      </c>
      <c r="G151" s="20"/>
      <c r="H151" s="23"/>
      <c r="I151" s="27"/>
    </row>
    <row r="152" spans="1:9" s="4" customFormat="1" x14ac:dyDescent="0.3">
      <c r="A152" s="45">
        <v>103</v>
      </c>
      <c r="B152" s="2" t="s">
        <v>345</v>
      </c>
      <c r="C152" s="3" t="s">
        <v>346</v>
      </c>
      <c r="D152" s="1" t="s">
        <v>347</v>
      </c>
      <c r="E152" s="1" t="s">
        <v>142</v>
      </c>
      <c r="F152" s="46">
        <f>ΑΝΑΛ.ΠΡΟΜ.OIK!G143</f>
        <v>600.38049999999998</v>
      </c>
      <c r="G152" s="20"/>
      <c r="H152" s="23"/>
      <c r="I152" s="27"/>
    </row>
    <row r="153" spans="1:9" s="4" customFormat="1" x14ac:dyDescent="0.3">
      <c r="A153" s="45">
        <v>104</v>
      </c>
      <c r="B153" s="2" t="s">
        <v>348</v>
      </c>
      <c r="C153" s="3" t="s">
        <v>349</v>
      </c>
      <c r="D153" s="1" t="s">
        <v>350</v>
      </c>
      <c r="E153" s="1" t="s">
        <v>12</v>
      </c>
      <c r="F153" s="46">
        <f>ΑΝΑΛ.ΠΡΟΜ.OIK!G144</f>
        <v>40.202159999999999</v>
      </c>
      <c r="G153" s="20"/>
      <c r="H153" s="23"/>
      <c r="I153" s="27"/>
    </row>
    <row r="154" spans="1:9" s="4" customFormat="1" x14ac:dyDescent="0.3">
      <c r="A154" s="51"/>
      <c r="B154" s="52" t="s">
        <v>351</v>
      </c>
      <c r="C154" s="60" t="s">
        <v>352</v>
      </c>
      <c r="D154" s="61" t="s">
        <v>6</v>
      </c>
      <c r="E154" s="61" t="s">
        <v>6</v>
      </c>
      <c r="F154" s="70"/>
      <c r="G154" s="20"/>
      <c r="H154" s="23"/>
      <c r="I154" s="27"/>
    </row>
    <row r="155" spans="1:9" s="4" customFormat="1" x14ac:dyDescent="0.3">
      <c r="A155" s="45">
        <v>105</v>
      </c>
      <c r="B155" s="2" t="s">
        <v>353</v>
      </c>
      <c r="C155" s="3" t="s">
        <v>354</v>
      </c>
      <c r="D155" s="1" t="s">
        <v>355</v>
      </c>
      <c r="E155" s="1" t="s">
        <v>101</v>
      </c>
      <c r="F155" s="46">
        <f>ΑΝΑΛ.ΠΡΟΜ.OIK!G146</f>
        <v>4</v>
      </c>
      <c r="G155" s="20"/>
      <c r="H155" s="23"/>
      <c r="I155" s="27"/>
    </row>
    <row r="156" spans="1:9" s="4" customFormat="1" x14ac:dyDescent="0.3">
      <c r="A156" s="45">
        <v>106</v>
      </c>
      <c r="B156" s="2" t="s">
        <v>356</v>
      </c>
      <c r="C156" s="3" t="s">
        <v>357</v>
      </c>
      <c r="D156" s="1" t="s">
        <v>358</v>
      </c>
      <c r="E156" s="1" t="s">
        <v>69</v>
      </c>
      <c r="F156" s="46">
        <f>ΑΝΑΛ.ΠΡΟΜ.OIK!G147</f>
        <v>57.100000000000009</v>
      </c>
      <c r="G156" s="20"/>
      <c r="H156" s="23"/>
      <c r="I156" s="27"/>
    </row>
    <row r="157" spans="1:9" s="4" customFormat="1" ht="25.5" customHeight="1" x14ac:dyDescent="0.3">
      <c r="A157" s="45">
        <v>107</v>
      </c>
      <c r="B157" s="2" t="s">
        <v>359</v>
      </c>
      <c r="C157" s="3" t="s">
        <v>360</v>
      </c>
      <c r="D157" s="1" t="s">
        <v>361</v>
      </c>
      <c r="E157" s="1" t="s">
        <v>69</v>
      </c>
      <c r="F157" s="46">
        <f>ΑΝΑΛ.ΠΡΟΜ.OIK!G148</f>
        <v>34.06</v>
      </c>
      <c r="G157" s="20"/>
      <c r="H157" s="23"/>
      <c r="I157" s="27"/>
    </row>
    <row r="158" spans="1:9" ht="16.5" x14ac:dyDescent="0.3">
      <c r="B158" s="13"/>
      <c r="C158" s="13"/>
      <c r="D158" s="13"/>
      <c r="E158" s="13"/>
      <c r="F158" s="31"/>
      <c r="G158" s="30"/>
      <c r="H158" s="29"/>
      <c r="I158" s="26"/>
    </row>
    <row r="159" spans="1:9" ht="15.6" x14ac:dyDescent="0.3">
      <c r="B159" s="601" t="s">
        <v>1270</v>
      </c>
      <c r="C159" s="602"/>
      <c r="D159" s="601" t="str">
        <f>B159</f>
        <v>Πολύγυρος, 07-02-2018</v>
      </c>
      <c r="E159" s="603"/>
      <c r="F159" s="106"/>
      <c r="G159" s="30"/>
      <c r="H159" s="29"/>
      <c r="I159" s="26"/>
    </row>
    <row r="160" spans="1:9" ht="15.6" x14ac:dyDescent="0.3">
      <c r="B160" s="604" t="s">
        <v>1271</v>
      </c>
      <c r="C160" s="602"/>
      <c r="D160" s="604" t="s">
        <v>1272</v>
      </c>
      <c r="E160" s="603"/>
      <c r="F160" s="31"/>
      <c r="G160" s="30"/>
      <c r="H160" s="29"/>
      <c r="I160" s="26"/>
    </row>
    <row r="161" spans="2:9" ht="15.6" x14ac:dyDescent="0.3">
      <c r="B161" s="605"/>
      <c r="C161" s="602"/>
      <c r="D161" s="606" t="s">
        <v>1273</v>
      </c>
      <c r="E161" s="603"/>
      <c r="F161" s="31"/>
      <c r="G161" s="30"/>
      <c r="H161" s="29"/>
      <c r="I161" s="26"/>
    </row>
    <row r="162" spans="2:9" ht="15.6" x14ac:dyDescent="0.3">
      <c r="B162" s="605"/>
      <c r="C162" s="602"/>
      <c r="D162" s="604"/>
      <c r="E162" s="603"/>
      <c r="F162" s="31"/>
      <c r="G162" s="30"/>
      <c r="H162" s="29"/>
      <c r="I162" s="26"/>
    </row>
    <row r="163" spans="2:9" ht="15.6" x14ac:dyDescent="0.3">
      <c r="B163" s="607"/>
      <c r="C163" s="602"/>
      <c r="D163" s="608"/>
      <c r="E163" s="603"/>
      <c r="F163" s="31"/>
      <c r="G163" s="30"/>
      <c r="H163" s="29"/>
      <c r="I163" s="26"/>
    </row>
    <row r="164" spans="2:9" ht="15.6" x14ac:dyDescent="0.3">
      <c r="B164" s="604" t="s">
        <v>1274</v>
      </c>
      <c r="C164" s="602"/>
      <c r="D164" s="604" t="s">
        <v>762</v>
      </c>
      <c r="E164" s="609"/>
      <c r="F164" s="31"/>
      <c r="G164" s="30"/>
      <c r="H164" s="29"/>
    </row>
    <row r="165" spans="2:9" ht="15.6" x14ac:dyDescent="0.3">
      <c r="B165" s="604" t="s">
        <v>1033</v>
      </c>
      <c r="C165" s="602"/>
      <c r="D165" s="604" t="s">
        <v>1275</v>
      </c>
      <c r="E165" s="609"/>
      <c r="F165" s="505"/>
      <c r="G165" s="505"/>
      <c r="H165" s="29"/>
    </row>
    <row r="166" spans="2:9" ht="15.6" x14ac:dyDescent="0.3">
      <c r="B166" s="604" t="s">
        <v>1276</v>
      </c>
      <c r="C166" s="602"/>
      <c r="D166" s="604" t="s">
        <v>1277</v>
      </c>
      <c r="E166" s="609"/>
      <c r="F166" s="33"/>
      <c r="G166" s="30"/>
      <c r="H166" s="32"/>
    </row>
  </sheetData>
  <mergeCells count="9">
    <mergeCell ref="A1:A2"/>
    <mergeCell ref="F165:G165"/>
    <mergeCell ref="G1:G2"/>
    <mergeCell ref="H1:H2"/>
    <mergeCell ref="F1:F2"/>
    <mergeCell ref="B1:B2"/>
    <mergeCell ref="C1:C2"/>
    <mergeCell ref="D1:D2"/>
    <mergeCell ref="E1:E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&amp;C&amp;A&amp;R&amp;P/&amp;N</oddFooter>
  </headerFooter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33"/>
  <sheetViews>
    <sheetView view="pageBreakPreview" topLeftCell="A463" zoomScale="75" zoomScaleNormal="75" zoomScaleSheetLayoutView="75" workbookViewId="0">
      <selection activeCell="O391" sqref="O391"/>
    </sheetView>
  </sheetViews>
  <sheetFormatPr defaultRowHeight="14.4" x14ac:dyDescent="0.3"/>
  <cols>
    <col min="1" max="1" width="6.6640625" style="287" customWidth="1"/>
    <col min="2" max="2" width="66.44140625" style="391" customWidth="1"/>
    <col min="3" max="3" width="18" style="287" customWidth="1"/>
    <col min="4" max="4" width="12.6640625" style="212" customWidth="1"/>
    <col min="5" max="5" width="8.5546875" style="287" customWidth="1"/>
    <col min="6" max="6" width="8" style="212" customWidth="1"/>
    <col min="7" max="7" width="11.5546875" style="251" customWidth="1"/>
    <col min="8" max="8" width="12.44140625" style="193" customWidth="1"/>
    <col min="9" max="9" width="16.5546875" style="354" bestFit="1" customWidth="1"/>
    <col min="10" max="10" width="16.33203125" style="370" customWidth="1"/>
    <col min="11" max="11" width="15.33203125" customWidth="1"/>
    <col min="12" max="12" width="16.5546875" customWidth="1"/>
  </cols>
  <sheetData>
    <row r="1" spans="1:25" s="115" customFormat="1" ht="21" customHeight="1" x14ac:dyDescent="0.25">
      <c r="A1" s="110"/>
      <c r="B1" s="188"/>
      <c r="C1" s="304"/>
      <c r="D1" s="112"/>
      <c r="E1" s="304"/>
      <c r="F1" s="196"/>
      <c r="G1" s="245"/>
      <c r="H1" s="194"/>
      <c r="I1" s="325"/>
      <c r="J1" s="355"/>
      <c r="K1" s="111"/>
      <c r="L1" s="112"/>
      <c r="M1" s="113"/>
      <c r="N1" s="113"/>
      <c r="O1" s="113"/>
      <c r="P1" s="114"/>
      <c r="Q1" s="114"/>
      <c r="R1" s="114"/>
      <c r="S1" s="114"/>
      <c r="T1" s="114"/>
      <c r="U1" s="114"/>
      <c r="V1" s="114"/>
      <c r="W1" s="114"/>
      <c r="X1" s="114"/>
      <c r="Y1" s="114"/>
    </row>
    <row r="2" spans="1:25" s="115" customFormat="1" ht="21.9" customHeight="1" x14ac:dyDescent="0.3">
      <c r="A2" s="110"/>
      <c r="B2" s="371" t="s">
        <v>705</v>
      </c>
      <c r="C2" s="304"/>
      <c r="E2" s="287"/>
      <c r="F2" s="212"/>
      <c r="G2" s="326"/>
      <c r="H2" s="329"/>
      <c r="I2" s="287"/>
      <c r="J2" s="329"/>
      <c r="K2" s="212"/>
      <c r="L2" s="112"/>
      <c r="M2" s="536"/>
      <c r="N2" s="536"/>
      <c r="O2" s="536"/>
      <c r="P2" s="536" t="s">
        <v>706</v>
      </c>
      <c r="Q2" s="527" t="s">
        <v>707</v>
      </c>
      <c r="R2" s="527" t="s">
        <v>708</v>
      </c>
      <c r="S2" s="114"/>
      <c r="T2" s="114"/>
      <c r="U2" s="114"/>
      <c r="V2" s="114"/>
      <c r="W2" s="114"/>
      <c r="X2" s="114"/>
      <c r="Y2" s="114"/>
    </row>
    <row r="3" spans="1:25" s="115" customFormat="1" ht="21.9" customHeight="1" x14ac:dyDescent="0.3">
      <c r="A3" s="110"/>
      <c r="B3" s="371" t="s">
        <v>709</v>
      </c>
      <c r="C3" s="422" t="s">
        <v>704</v>
      </c>
      <c r="D3" s="539" t="s">
        <v>1040</v>
      </c>
      <c r="E3" s="540"/>
      <c r="F3" s="540"/>
      <c r="G3" s="540"/>
      <c r="H3" s="540"/>
      <c r="I3" s="540"/>
      <c r="J3" s="540"/>
      <c r="K3" s="212"/>
      <c r="L3" s="112"/>
      <c r="M3" s="537"/>
      <c r="N3" s="538"/>
      <c r="O3" s="538"/>
      <c r="P3" s="537"/>
      <c r="Q3" s="528"/>
      <c r="R3" s="528"/>
      <c r="S3" s="114"/>
      <c r="T3" s="114"/>
      <c r="U3" s="114"/>
      <c r="V3" s="114"/>
      <c r="W3" s="114"/>
      <c r="X3" s="114"/>
      <c r="Y3" s="114"/>
    </row>
    <row r="4" spans="1:25" s="115" customFormat="1" ht="21.9" customHeight="1" x14ac:dyDescent="0.3">
      <c r="A4" s="110"/>
      <c r="B4" s="371" t="s">
        <v>710</v>
      </c>
      <c r="C4" s="423"/>
      <c r="D4" s="540"/>
      <c r="E4" s="540"/>
      <c r="F4" s="540"/>
      <c r="G4" s="540"/>
      <c r="H4" s="540"/>
      <c r="I4" s="540"/>
      <c r="J4" s="540"/>
      <c r="K4" s="212"/>
      <c r="L4" s="112"/>
      <c r="M4" s="537"/>
      <c r="N4" s="538"/>
      <c r="O4" s="538"/>
      <c r="P4" s="537"/>
      <c r="Q4" s="528"/>
      <c r="R4" s="528"/>
      <c r="S4" s="114"/>
      <c r="T4" s="114"/>
      <c r="U4" s="114"/>
      <c r="V4" s="114"/>
      <c r="W4" s="114"/>
      <c r="X4" s="114"/>
      <c r="Y4" s="114"/>
    </row>
    <row r="5" spans="1:25" s="115" customFormat="1" ht="21.9" customHeight="1" x14ac:dyDescent="0.3">
      <c r="A5" s="110"/>
      <c r="B5" s="371" t="s">
        <v>711</v>
      </c>
      <c r="C5" s="423"/>
      <c r="D5" s="424"/>
      <c r="E5" s="425"/>
      <c r="F5" s="424"/>
      <c r="G5" s="426"/>
      <c r="H5" s="427"/>
      <c r="I5" s="425"/>
      <c r="J5" s="427"/>
      <c r="K5" s="212"/>
      <c r="L5" s="112"/>
      <c r="M5" s="537"/>
      <c r="N5" s="538"/>
      <c r="O5" s="538"/>
      <c r="P5" s="537"/>
      <c r="Q5" s="528"/>
      <c r="R5" s="528"/>
      <c r="S5" s="114"/>
      <c r="T5" s="114"/>
      <c r="U5" s="114"/>
      <c r="V5" s="114"/>
      <c r="W5" s="114"/>
      <c r="X5" s="114"/>
      <c r="Y5" s="114"/>
    </row>
    <row r="6" spans="1:25" s="115" customFormat="1" ht="21.9" customHeight="1" x14ac:dyDescent="0.3">
      <c r="A6" s="110"/>
      <c r="B6" s="371" t="s">
        <v>712</v>
      </c>
      <c r="C6" s="423"/>
      <c r="D6" s="428"/>
      <c r="E6" s="429"/>
      <c r="F6" s="430"/>
      <c r="G6" s="245"/>
      <c r="H6" s="431"/>
      <c r="I6" s="432"/>
      <c r="J6" s="355"/>
      <c r="K6" s="117"/>
      <c r="L6" s="112"/>
      <c r="M6" s="537"/>
      <c r="N6" s="538"/>
      <c r="O6" s="538"/>
      <c r="P6" s="537"/>
      <c r="Q6" s="528"/>
      <c r="R6" s="528"/>
      <c r="S6" s="114"/>
      <c r="T6" s="114"/>
      <c r="U6" s="114"/>
      <c r="V6" s="114"/>
      <c r="W6" s="114"/>
      <c r="X6" s="114"/>
      <c r="Y6" s="114"/>
    </row>
    <row r="7" spans="1:25" s="115" customFormat="1" ht="21.9" customHeight="1" x14ac:dyDescent="0.3">
      <c r="A7" s="110"/>
      <c r="B7" s="372"/>
      <c r="C7" s="429"/>
      <c r="D7" s="428"/>
      <c r="E7" s="429"/>
      <c r="F7" s="430"/>
      <c r="G7" s="529" t="s">
        <v>713</v>
      </c>
      <c r="H7" s="530"/>
      <c r="I7" s="433" t="s">
        <v>1037</v>
      </c>
      <c r="J7" s="434"/>
      <c r="K7" s="118"/>
      <c r="L7" s="119"/>
      <c r="M7" s="537"/>
      <c r="N7" s="538"/>
      <c r="O7" s="538"/>
      <c r="P7" s="537"/>
      <c r="Q7" s="528"/>
      <c r="R7" s="528"/>
      <c r="S7" s="114"/>
      <c r="T7" s="114"/>
      <c r="U7" s="114"/>
      <c r="V7" s="114"/>
      <c r="W7" s="114"/>
      <c r="X7" s="114"/>
      <c r="Y7" s="114"/>
    </row>
    <row r="8" spans="1:25" s="121" customFormat="1" ht="39.9" customHeight="1" thickBot="1" x14ac:dyDescent="0.35">
      <c r="A8" s="531" t="s">
        <v>714</v>
      </c>
      <c r="B8" s="532"/>
      <c r="C8" s="532"/>
      <c r="D8" s="532"/>
      <c r="E8" s="532"/>
      <c r="F8" s="532"/>
      <c r="G8" s="532"/>
      <c r="H8" s="532"/>
      <c r="I8" s="532"/>
      <c r="J8" s="532"/>
      <c r="K8" s="532"/>
      <c r="L8" s="119"/>
      <c r="M8" s="537"/>
      <c r="N8" s="538"/>
      <c r="O8" s="538"/>
      <c r="P8" s="537"/>
      <c r="Q8" s="528"/>
      <c r="R8" s="528"/>
      <c r="S8" s="120"/>
      <c r="T8" s="120"/>
      <c r="U8" s="120"/>
      <c r="V8" s="120"/>
      <c r="W8" s="120"/>
      <c r="X8" s="120"/>
      <c r="Y8" s="120"/>
    </row>
    <row r="9" spans="1:25" s="112" customFormat="1" ht="40.200000000000003" thickBot="1" x14ac:dyDescent="0.35">
      <c r="A9" s="122" t="s">
        <v>715</v>
      </c>
      <c r="B9" s="122" t="s">
        <v>716</v>
      </c>
      <c r="C9" s="123" t="s">
        <v>747</v>
      </c>
      <c r="D9" s="123" t="s">
        <v>746</v>
      </c>
      <c r="E9" s="124" t="s">
        <v>717</v>
      </c>
      <c r="F9" s="122" t="s">
        <v>718</v>
      </c>
      <c r="G9" s="392" t="s">
        <v>719</v>
      </c>
      <c r="H9" s="123" t="s">
        <v>720</v>
      </c>
      <c r="I9" s="123" t="s">
        <v>721</v>
      </c>
      <c r="J9" s="125" t="s">
        <v>722</v>
      </c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</row>
    <row r="10" spans="1:25" ht="26.25" customHeight="1" x14ac:dyDescent="0.3">
      <c r="A10" s="395"/>
      <c r="B10" s="477" t="s">
        <v>452</v>
      </c>
      <c r="C10" s="396"/>
      <c r="D10" s="397"/>
      <c r="E10" s="396"/>
      <c r="F10" s="397"/>
      <c r="G10" s="398"/>
      <c r="H10" s="399"/>
      <c r="I10" s="400"/>
      <c r="J10" s="401"/>
    </row>
    <row r="11" spans="1:25" s="180" customFormat="1" ht="20.100000000000001" customHeight="1" x14ac:dyDescent="0.25">
      <c r="A11" s="179"/>
      <c r="B11" s="172" t="s">
        <v>1138</v>
      </c>
      <c r="C11" s="169"/>
      <c r="D11" s="170" t="s">
        <v>6</v>
      </c>
      <c r="E11" s="307"/>
      <c r="F11" s="171" t="s">
        <v>6</v>
      </c>
      <c r="G11" s="246"/>
      <c r="H11" s="107"/>
      <c r="I11" s="336"/>
      <c r="J11" s="356"/>
    </row>
    <row r="12" spans="1:25" s="209" customFormat="1" ht="18" customHeight="1" x14ac:dyDescent="0.25">
      <c r="A12" s="213">
        <v>1</v>
      </c>
      <c r="B12" s="373" t="s">
        <v>1002</v>
      </c>
      <c r="C12" s="216" t="s">
        <v>1107</v>
      </c>
      <c r="D12" s="213" t="s">
        <v>1003</v>
      </c>
      <c r="E12" s="216">
        <f>A12</f>
        <v>1</v>
      </c>
      <c r="F12" s="213" t="s">
        <v>1004</v>
      </c>
      <c r="G12" s="244">
        <v>3800</v>
      </c>
      <c r="H12" s="214">
        <v>0.35</v>
      </c>
      <c r="I12" s="210">
        <f>G12*H12</f>
        <v>1330</v>
      </c>
      <c r="J12" s="214"/>
    </row>
    <row r="13" spans="1:25" s="209" customFormat="1" ht="27" customHeight="1" x14ac:dyDescent="0.25">
      <c r="A13" s="213">
        <f>A12+1</f>
        <v>2</v>
      </c>
      <c r="B13" s="373" t="s">
        <v>723</v>
      </c>
      <c r="C13" s="216" t="s">
        <v>9</v>
      </c>
      <c r="D13" s="215" t="s">
        <v>11</v>
      </c>
      <c r="E13" s="216">
        <f t="shared" ref="E13:E58" si="0">A13</f>
        <v>2</v>
      </c>
      <c r="F13" s="213" t="s">
        <v>12</v>
      </c>
      <c r="G13" s="244">
        <v>164</v>
      </c>
      <c r="H13" s="214">
        <v>4.5</v>
      </c>
      <c r="I13" s="210">
        <f t="shared" ref="I13:I58" si="1">G13*H13</f>
        <v>738</v>
      </c>
      <c r="J13" s="214"/>
    </row>
    <row r="14" spans="1:25" s="209" customFormat="1" ht="25.95" customHeight="1" x14ac:dyDescent="0.25">
      <c r="A14" s="213">
        <f t="shared" ref="A14:A58" si="2">A13+1</f>
        <v>3</v>
      </c>
      <c r="B14" s="373" t="s">
        <v>724</v>
      </c>
      <c r="C14" s="216" t="s">
        <v>13</v>
      </c>
      <c r="D14" s="213" t="s">
        <v>11</v>
      </c>
      <c r="E14" s="216">
        <f t="shared" si="0"/>
        <v>3</v>
      </c>
      <c r="F14" s="213" t="s">
        <v>12</v>
      </c>
      <c r="G14" s="244">
        <v>82</v>
      </c>
      <c r="H14" s="214">
        <v>5.6</v>
      </c>
      <c r="I14" s="210">
        <f t="shared" si="1"/>
        <v>459.2</v>
      </c>
      <c r="J14" s="214"/>
    </row>
    <row r="15" spans="1:25" s="209" customFormat="1" ht="41.25" customHeight="1" x14ac:dyDescent="0.25">
      <c r="A15" s="213">
        <f t="shared" si="2"/>
        <v>4</v>
      </c>
      <c r="B15" s="373" t="s">
        <v>1005</v>
      </c>
      <c r="C15" s="216" t="s">
        <v>1006</v>
      </c>
      <c r="D15" s="213" t="s">
        <v>1007</v>
      </c>
      <c r="E15" s="216">
        <f t="shared" si="0"/>
        <v>4</v>
      </c>
      <c r="F15" s="213" t="s">
        <v>16</v>
      </c>
      <c r="G15" s="244">
        <v>25.6</v>
      </c>
      <c r="H15" s="214">
        <v>20.25</v>
      </c>
      <c r="I15" s="210">
        <f t="shared" si="1"/>
        <v>518.4</v>
      </c>
      <c r="J15" s="214"/>
    </row>
    <row r="16" spans="1:25" s="209" customFormat="1" ht="41.25" customHeight="1" x14ac:dyDescent="0.25">
      <c r="A16" s="213">
        <f t="shared" si="2"/>
        <v>5</v>
      </c>
      <c r="B16" s="373" t="s">
        <v>1008</v>
      </c>
      <c r="C16" s="216" t="s">
        <v>1009</v>
      </c>
      <c r="D16" s="213" t="s">
        <v>1010</v>
      </c>
      <c r="E16" s="216">
        <f t="shared" si="0"/>
        <v>5</v>
      </c>
      <c r="F16" s="213" t="s">
        <v>16</v>
      </c>
      <c r="G16" s="244">
        <v>59.7</v>
      </c>
      <c r="H16" s="214">
        <v>31</v>
      </c>
      <c r="I16" s="210">
        <f t="shared" si="1"/>
        <v>1850.7</v>
      </c>
      <c r="J16" s="214"/>
    </row>
    <row r="17" spans="1:13" s="209" customFormat="1" ht="30" customHeight="1" x14ac:dyDescent="0.25">
      <c r="A17" s="213">
        <f t="shared" si="2"/>
        <v>6</v>
      </c>
      <c r="B17" s="373" t="s">
        <v>1108</v>
      </c>
      <c r="C17" s="216" t="s">
        <v>19</v>
      </c>
      <c r="D17" s="213" t="s">
        <v>20</v>
      </c>
      <c r="E17" s="216">
        <f t="shared" si="0"/>
        <v>6</v>
      </c>
      <c r="F17" s="213" t="s">
        <v>16</v>
      </c>
      <c r="G17" s="244">
        <v>74</v>
      </c>
      <c r="H17" s="214">
        <f>4.5+5*(0.2+0.03)</f>
        <v>5.65</v>
      </c>
      <c r="I17" s="210">
        <f t="shared" si="1"/>
        <v>418.1</v>
      </c>
      <c r="J17" s="214"/>
    </row>
    <row r="18" spans="1:13" s="209" customFormat="1" ht="41.25" customHeight="1" x14ac:dyDescent="0.25">
      <c r="A18" s="213">
        <f t="shared" si="2"/>
        <v>7</v>
      </c>
      <c r="B18" s="373" t="s">
        <v>1109</v>
      </c>
      <c r="C18" s="216" t="s">
        <v>21</v>
      </c>
      <c r="D18" s="213" t="s">
        <v>23</v>
      </c>
      <c r="E18" s="216">
        <f t="shared" si="0"/>
        <v>7</v>
      </c>
      <c r="F18" s="213" t="s">
        <v>16</v>
      </c>
      <c r="G18" s="244">
        <v>172</v>
      </c>
      <c r="H18" s="214">
        <f>28+5*(0.2+0.03)</f>
        <v>29.15</v>
      </c>
      <c r="I18" s="210">
        <f t="shared" si="1"/>
        <v>5013.8</v>
      </c>
      <c r="J18" s="214"/>
    </row>
    <row r="19" spans="1:13" s="4" customFormat="1" ht="20.100000000000001" customHeight="1" x14ac:dyDescent="0.3">
      <c r="A19" s="213">
        <f t="shared" si="2"/>
        <v>8</v>
      </c>
      <c r="B19" s="373" t="s">
        <v>1011</v>
      </c>
      <c r="C19" s="216" t="s">
        <v>29</v>
      </c>
      <c r="D19" s="213" t="s">
        <v>31</v>
      </c>
      <c r="E19" s="216">
        <f t="shared" si="0"/>
        <v>8</v>
      </c>
      <c r="F19" s="213" t="s">
        <v>16</v>
      </c>
      <c r="G19" s="244">
        <v>215</v>
      </c>
      <c r="H19" s="214">
        <v>22.5</v>
      </c>
      <c r="I19" s="210">
        <f t="shared" si="1"/>
        <v>4837.5</v>
      </c>
      <c r="J19" s="214"/>
    </row>
    <row r="20" spans="1:13" s="4" customFormat="1" ht="32.25" customHeight="1" x14ac:dyDescent="0.3">
      <c r="A20" s="213">
        <f t="shared" si="2"/>
        <v>9</v>
      </c>
      <c r="B20" s="373" t="s">
        <v>725</v>
      </c>
      <c r="C20" s="216" t="s">
        <v>34</v>
      </c>
      <c r="D20" s="213" t="s">
        <v>36</v>
      </c>
      <c r="E20" s="216">
        <f t="shared" si="0"/>
        <v>9</v>
      </c>
      <c r="F20" s="213" t="s">
        <v>16</v>
      </c>
      <c r="G20" s="244">
        <v>3.5</v>
      </c>
      <c r="H20" s="214">
        <v>45</v>
      </c>
      <c r="I20" s="210">
        <f t="shared" si="1"/>
        <v>157.5</v>
      </c>
      <c r="J20" s="214"/>
    </row>
    <row r="21" spans="1:13" s="4" customFormat="1" ht="20.100000000000001" customHeight="1" x14ac:dyDescent="0.3">
      <c r="A21" s="213">
        <f t="shared" si="2"/>
        <v>10</v>
      </c>
      <c r="B21" s="373" t="s">
        <v>375</v>
      </c>
      <c r="C21" s="216" t="s">
        <v>374</v>
      </c>
      <c r="D21" s="213" t="s">
        <v>376</v>
      </c>
      <c r="E21" s="216">
        <f t="shared" si="0"/>
        <v>10</v>
      </c>
      <c r="F21" s="213" t="s">
        <v>16</v>
      </c>
      <c r="G21" s="244">
        <v>80.400000000000006</v>
      </c>
      <c r="H21" s="214">
        <v>17.8</v>
      </c>
      <c r="I21" s="210">
        <f t="shared" si="1"/>
        <v>1431.1200000000001</v>
      </c>
      <c r="J21" s="214"/>
    </row>
    <row r="22" spans="1:13" s="4" customFormat="1" ht="20.100000000000001" customHeight="1" x14ac:dyDescent="0.3">
      <c r="A22" s="213">
        <f t="shared" si="2"/>
        <v>11</v>
      </c>
      <c r="B22" s="373" t="s">
        <v>38</v>
      </c>
      <c r="C22" s="216" t="s">
        <v>37</v>
      </c>
      <c r="D22" s="213" t="s">
        <v>39</v>
      </c>
      <c r="E22" s="216">
        <f t="shared" si="0"/>
        <v>11</v>
      </c>
      <c r="F22" s="213" t="s">
        <v>16</v>
      </c>
      <c r="G22" s="244">
        <v>362</v>
      </c>
      <c r="H22" s="214">
        <v>0.9</v>
      </c>
      <c r="I22" s="210">
        <f t="shared" si="1"/>
        <v>325.8</v>
      </c>
      <c r="J22" s="214"/>
    </row>
    <row r="23" spans="1:13" s="4" customFormat="1" ht="20.100000000000001" customHeight="1" x14ac:dyDescent="0.3">
      <c r="A23" s="213">
        <f t="shared" si="2"/>
        <v>12</v>
      </c>
      <c r="B23" s="373" t="s">
        <v>1012</v>
      </c>
      <c r="C23" s="216" t="s">
        <v>40</v>
      </c>
      <c r="D23" s="213" t="s">
        <v>42</v>
      </c>
      <c r="E23" s="216">
        <f t="shared" si="0"/>
        <v>12</v>
      </c>
      <c r="F23" s="213" t="s">
        <v>1013</v>
      </c>
      <c r="G23" s="244">
        <v>760</v>
      </c>
      <c r="H23" s="214">
        <v>5.6</v>
      </c>
      <c r="I23" s="210">
        <f t="shared" si="1"/>
        <v>4256</v>
      </c>
      <c r="J23" s="214"/>
    </row>
    <row r="24" spans="1:13" s="209" customFormat="1" ht="20.100000000000001" customHeight="1" x14ac:dyDescent="0.25">
      <c r="A24" s="213">
        <f t="shared" si="2"/>
        <v>13</v>
      </c>
      <c r="B24" s="373" t="s">
        <v>726</v>
      </c>
      <c r="C24" s="216" t="s">
        <v>47</v>
      </c>
      <c r="D24" s="213" t="s">
        <v>49</v>
      </c>
      <c r="E24" s="216">
        <f t="shared" si="0"/>
        <v>13</v>
      </c>
      <c r="F24" s="213" t="s">
        <v>50</v>
      </c>
      <c r="G24" s="244">
        <v>1040</v>
      </c>
      <c r="H24" s="214">
        <v>3.3</v>
      </c>
      <c r="I24" s="210">
        <f t="shared" si="1"/>
        <v>3432</v>
      </c>
      <c r="J24" s="214"/>
    </row>
    <row r="25" spans="1:13" s="4" customFormat="1" ht="31.5" customHeight="1" x14ac:dyDescent="0.3">
      <c r="A25" s="213">
        <f t="shared" si="2"/>
        <v>14</v>
      </c>
      <c r="B25" s="373" t="s">
        <v>727</v>
      </c>
      <c r="C25" s="216" t="s">
        <v>53</v>
      </c>
      <c r="D25" s="213" t="s">
        <v>55</v>
      </c>
      <c r="E25" s="216">
        <f t="shared" si="0"/>
        <v>14</v>
      </c>
      <c r="F25" s="213" t="s">
        <v>56</v>
      </c>
      <c r="G25" s="244">
        <v>60</v>
      </c>
      <c r="H25" s="214">
        <v>11.2</v>
      </c>
      <c r="I25" s="210">
        <f t="shared" si="1"/>
        <v>672</v>
      </c>
      <c r="J25" s="214"/>
      <c r="L25" s="209"/>
      <c r="M25" s="209"/>
    </row>
    <row r="26" spans="1:13" s="209" customFormat="1" ht="20.100000000000001" customHeight="1" x14ac:dyDescent="0.25">
      <c r="A26" s="213">
        <f t="shared" si="2"/>
        <v>15</v>
      </c>
      <c r="B26" s="373" t="s">
        <v>1014</v>
      </c>
      <c r="C26" s="216" t="s">
        <v>58</v>
      </c>
      <c r="D26" s="213" t="s">
        <v>60</v>
      </c>
      <c r="E26" s="216">
        <f t="shared" si="0"/>
        <v>15</v>
      </c>
      <c r="F26" s="213" t="s">
        <v>16</v>
      </c>
      <c r="G26" s="244">
        <v>5.3</v>
      </c>
      <c r="H26" s="214">
        <v>16.899999999999999</v>
      </c>
      <c r="I26" s="210">
        <f t="shared" si="1"/>
        <v>89.57</v>
      </c>
      <c r="J26" s="214"/>
    </row>
    <row r="27" spans="1:13" s="209" customFormat="1" ht="20.100000000000001" customHeight="1" x14ac:dyDescent="0.25">
      <c r="A27" s="213">
        <f t="shared" si="2"/>
        <v>16</v>
      </c>
      <c r="B27" s="373" t="s">
        <v>1015</v>
      </c>
      <c r="C27" s="216" t="s">
        <v>61</v>
      </c>
      <c r="D27" s="213" t="s">
        <v>63</v>
      </c>
      <c r="E27" s="216">
        <f t="shared" si="0"/>
        <v>16</v>
      </c>
      <c r="F27" s="213" t="s">
        <v>16</v>
      </c>
      <c r="G27" s="244">
        <v>17.2</v>
      </c>
      <c r="H27" s="214">
        <v>5.6</v>
      </c>
      <c r="I27" s="210">
        <f t="shared" si="1"/>
        <v>96.32</v>
      </c>
      <c r="J27" s="214"/>
    </row>
    <row r="28" spans="1:13" s="209" customFormat="1" ht="20.100000000000001" customHeight="1" x14ac:dyDescent="0.25">
      <c r="A28" s="213">
        <f t="shared" si="2"/>
        <v>17</v>
      </c>
      <c r="B28" s="373" t="s">
        <v>65</v>
      </c>
      <c r="C28" s="216" t="s">
        <v>64</v>
      </c>
      <c r="D28" s="213" t="s">
        <v>66</v>
      </c>
      <c r="E28" s="216">
        <f t="shared" si="0"/>
        <v>17</v>
      </c>
      <c r="F28" s="213" t="s">
        <v>16</v>
      </c>
      <c r="G28" s="244">
        <v>10.7</v>
      </c>
      <c r="H28" s="214">
        <v>15.7</v>
      </c>
      <c r="I28" s="210">
        <f t="shared" si="1"/>
        <v>167.98999999999998</v>
      </c>
      <c r="J28" s="214"/>
    </row>
    <row r="29" spans="1:13" s="209" customFormat="1" ht="20.100000000000001" customHeight="1" x14ac:dyDescent="0.25">
      <c r="A29" s="213">
        <f t="shared" si="2"/>
        <v>18</v>
      </c>
      <c r="B29" s="373" t="s">
        <v>68</v>
      </c>
      <c r="C29" s="216" t="s">
        <v>67</v>
      </c>
      <c r="D29" s="213" t="s">
        <v>66</v>
      </c>
      <c r="E29" s="216">
        <f t="shared" si="0"/>
        <v>18</v>
      </c>
      <c r="F29" s="213" t="s">
        <v>69</v>
      </c>
      <c r="G29" s="244">
        <v>9.4</v>
      </c>
      <c r="H29" s="214">
        <v>46.08</v>
      </c>
      <c r="I29" s="210">
        <f t="shared" si="1"/>
        <v>433.15199999999999</v>
      </c>
      <c r="J29" s="214"/>
    </row>
    <row r="30" spans="1:13" s="209" customFormat="1" ht="31.5" customHeight="1" x14ac:dyDescent="0.25">
      <c r="A30" s="213">
        <f t="shared" si="2"/>
        <v>19</v>
      </c>
      <c r="B30" s="373" t="s">
        <v>1140</v>
      </c>
      <c r="C30" s="216" t="s">
        <v>70</v>
      </c>
      <c r="D30" s="213" t="s">
        <v>72</v>
      </c>
      <c r="E30" s="216">
        <f t="shared" si="0"/>
        <v>19</v>
      </c>
      <c r="F30" s="213" t="s">
        <v>16</v>
      </c>
      <c r="G30" s="244">
        <v>0.7</v>
      </c>
      <c r="H30" s="214">
        <f>28+35*0.2</f>
        <v>35</v>
      </c>
      <c r="I30" s="210">
        <f t="shared" si="1"/>
        <v>24.5</v>
      </c>
      <c r="J30" s="214"/>
    </row>
    <row r="31" spans="1:13" s="209" customFormat="1" ht="34.5" customHeight="1" x14ac:dyDescent="0.25">
      <c r="A31" s="213">
        <f t="shared" si="2"/>
        <v>20</v>
      </c>
      <c r="B31" s="373" t="s">
        <v>1141</v>
      </c>
      <c r="C31" s="216" t="s">
        <v>75</v>
      </c>
      <c r="D31" s="213" t="s">
        <v>72</v>
      </c>
      <c r="E31" s="216">
        <f t="shared" si="0"/>
        <v>20</v>
      </c>
      <c r="F31" s="213" t="s">
        <v>16</v>
      </c>
      <c r="G31" s="244">
        <v>0.8</v>
      </c>
      <c r="H31" s="214">
        <f>56+35*0.2</f>
        <v>63</v>
      </c>
      <c r="I31" s="210">
        <f t="shared" si="1"/>
        <v>50.400000000000006</v>
      </c>
      <c r="J31" s="214"/>
    </row>
    <row r="32" spans="1:13" s="4" customFormat="1" ht="51" customHeight="1" x14ac:dyDescent="0.3">
      <c r="A32" s="213">
        <f t="shared" si="2"/>
        <v>21</v>
      </c>
      <c r="B32" s="373" t="s">
        <v>1142</v>
      </c>
      <c r="C32" s="216" t="s">
        <v>1115</v>
      </c>
      <c r="D32" s="213" t="s">
        <v>72</v>
      </c>
      <c r="E32" s="216">
        <f t="shared" si="0"/>
        <v>21</v>
      </c>
      <c r="F32" s="213" t="s">
        <v>78</v>
      </c>
      <c r="G32" s="244">
        <v>98.1</v>
      </c>
      <c r="H32" s="280">
        <v>17</v>
      </c>
      <c r="I32" s="210">
        <f t="shared" si="1"/>
        <v>1667.6999999999998</v>
      </c>
      <c r="J32" s="214"/>
    </row>
    <row r="33" spans="1:10" s="4" customFormat="1" ht="29.25" customHeight="1" x14ac:dyDescent="0.3">
      <c r="A33" s="213">
        <f t="shared" si="2"/>
        <v>22</v>
      </c>
      <c r="B33" s="373" t="s">
        <v>728</v>
      </c>
      <c r="C33" s="216" t="s">
        <v>81</v>
      </c>
      <c r="D33" s="213" t="s">
        <v>83</v>
      </c>
      <c r="E33" s="216">
        <f t="shared" si="0"/>
        <v>22</v>
      </c>
      <c r="F33" s="213" t="s">
        <v>12</v>
      </c>
      <c r="G33" s="244">
        <v>16.7</v>
      </c>
      <c r="H33" s="214">
        <v>7.9</v>
      </c>
      <c r="I33" s="210">
        <f t="shared" si="1"/>
        <v>131.93</v>
      </c>
      <c r="J33" s="214"/>
    </row>
    <row r="34" spans="1:10" s="4" customFormat="1" ht="32.25" customHeight="1" x14ac:dyDescent="0.3">
      <c r="A34" s="213">
        <f t="shared" si="2"/>
        <v>23</v>
      </c>
      <c r="B34" s="373" t="s">
        <v>729</v>
      </c>
      <c r="C34" s="216" t="s">
        <v>86</v>
      </c>
      <c r="D34" s="213" t="s">
        <v>87</v>
      </c>
      <c r="E34" s="216">
        <f t="shared" si="0"/>
        <v>23</v>
      </c>
      <c r="F34" s="213" t="s">
        <v>12</v>
      </c>
      <c r="G34" s="244">
        <v>2.1</v>
      </c>
      <c r="H34" s="214">
        <v>4.5</v>
      </c>
      <c r="I34" s="210">
        <f t="shared" si="1"/>
        <v>9.4500000000000011</v>
      </c>
      <c r="J34" s="214"/>
    </row>
    <row r="35" spans="1:10" s="4" customFormat="1" ht="28.5" customHeight="1" x14ac:dyDescent="0.3">
      <c r="A35" s="213">
        <f t="shared" si="2"/>
        <v>24</v>
      </c>
      <c r="B35" s="373" t="s">
        <v>1016</v>
      </c>
      <c r="C35" s="216" t="s">
        <v>88</v>
      </c>
      <c r="D35" s="213" t="s">
        <v>90</v>
      </c>
      <c r="E35" s="216">
        <f t="shared" si="0"/>
        <v>24</v>
      </c>
      <c r="F35" s="213" t="s">
        <v>12</v>
      </c>
      <c r="G35" s="244">
        <v>69.5</v>
      </c>
      <c r="H35" s="214">
        <v>9</v>
      </c>
      <c r="I35" s="210">
        <f t="shared" si="1"/>
        <v>625.5</v>
      </c>
      <c r="J35" s="214"/>
    </row>
    <row r="36" spans="1:10" s="209" customFormat="1" ht="20.100000000000001" customHeight="1" x14ac:dyDescent="0.25">
      <c r="A36" s="213">
        <f t="shared" si="2"/>
        <v>25</v>
      </c>
      <c r="B36" s="373" t="s">
        <v>92</v>
      </c>
      <c r="C36" s="216" t="s">
        <v>91</v>
      </c>
      <c r="D36" s="213" t="s">
        <v>93</v>
      </c>
      <c r="E36" s="216">
        <f t="shared" si="0"/>
        <v>25</v>
      </c>
      <c r="F36" s="213" t="s">
        <v>12</v>
      </c>
      <c r="G36" s="244">
        <v>1235</v>
      </c>
      <c r="H36" s="214">
        <v>5.6</v>
      </c>
      <c r="I36" s="210">
        <f t="shared" si="1"/>
        <v>6916</v>
      </c>
      <c r="J36" s="214"/>
    </row>
    <row r="37" spans="1:10" s="209" customFormat="1" ht="20.100000000000001" customHeight="1" x14ac:dyDescent="0.25">
      <c r="A37" s="213">
        <f t="shared" si="2"/>
        <v>26</v>
      </c>
      <c r="B37" s="373" t="s">
        <v>95</v>
      </c>
      <c r="C37" s="216" t="s">
        <v>94</v>
      </c>
      <c r="D37" s="213" t="s">
        <v>93</v>
      </c>
      <c r="E37" s="216">
        <f t="shared" si="0"/>
        <v>26</v>
      </c>
      <c r="F37" s="213" t="s">
        <v>12</v>
      </c>
      <c r="G37" s="244">
        <v>1167</v>
      </c>
      <c r="H37" s="214">
        <v>18.78</v>
      </c>
      <c r="I37" s="210">
        <f t="shared" si="1"/>
        <v>21916.260000000002</v>
      </c>
      <c r="J37" s="214"/>
    </row>
    <row r="38" spans="1:10" s="209" customFormat="1" ht="20.100000000000001" customHeight="1" x14ac:dyDescent="0.25">
      <c r="A38" s="213">
        <f t="shared" si="2"/>
        <v>27</v>
      </c>
      <c r="B38" s="373" t="s">
        <v>97</v>
      </c>
      <c r="C38" s="216" t="s">
        <v>96</v>
      </c>
      <c r="D38" s="213" t="s">
        <v>93</v>
      </c>
      <c r="E38" s="216">
        <f t="shared" si="0"/>
        <v>27</v>
      </c>
      <c r="F38" s="213" t="s">
        <v>12</v>
      </c>
      <c r="G38" s="244">
        <v>1167</v>
      </c>
      <c r="H38" s="214">
        <v>26.8</v>
      </c>
      <c r="I38" s="210">
        <f t="shared" si="1"/>
        <v>31275.600000000002</v>
      </c>
      <c r="J38" s="214"/>
    </row>
    <row r="39" spans="1:10" s="209" customFormat="1" ht="20.100000000000001" customHeight="1" x14ac:dyDescent="0.25">
      <c r="A39" s="213">
        <f t="shared" si="2"/>
        <v>28</v>
      </c>
      <c r="B39" s="373" t="s">
        <v>99</v>
      </c>
      <c r="C39" s="216" t="s">
        <v>98</v>
      </c>
      <c r="D39" s="213" t="s">
        <v>100</v>
      </c>
      <c r="E39" s="216">
        <f t="shared" si="0"/>
        <v>28</v>
      </c>
      <c r="F39" s="213" t="s">
        <v>101</v>
      </c>
      <c r="G39" s="244">
        <v>150</v>
      </c>
      <c r="H39" s="214">
        <v>3.9</v>
      </c>
      <c r="I39" s="210">
        <f t="shared" si="1"/>
        <v>585</v>
      </c>
      <c r="J39" s="214"/>
    </row>
    <row r="40" spans="1:10" s="209" customFormat="1" ht="20.100000000000001" customHeight="1" x14ac:dyDescent="0.25">
      <c r="A40" s="213">
        <f t="shared" si="2"/>
        <v>29</v>
      </c>
      <c r="B40" s="373" t="s">
        <v>105</v>
      </c>
      <c r="C40" s="216" t="s">
        <v>104</v>
      </c>
      <c r="D40" s="213" t="s">
        <v>100</v>
      </c>
      <c r="E40" s="216">
        <f t="shared" si="0"/>
        <v>29</v>
      </c>
      <c r="F40" s="213" t="s">
        <v>101</v>
      </c>
      <c r="G40" s="244">
        <v>50</v>
      </c>
      <c r="H40" s="214">
        <v>4.0999999999999996</v>
      </c>
      <c r="I40" s="210">
        <f t="shared" si="1"/>
        <v>204.99999999999997</v>
      </c>
      <c r="J40" s="214"/>
    </row>
    <row r="41" spans="1:10" s="209" customFormat="1" ht="32.25" customHeight="1" x14ac:dyDescent="0.25">
      <c r="A41" s="213">
        <f t="shared" si="2"/>
        <v>30</v>
      </c>
      <c r="B41" s="373" t="s">
        <v>730</v>
      </c>
      <c r="C41" s="216" t="s">
        <v>108</v>
      </c>
      <c r="D41" s="213" t="s">
        <v>110</v>
      </c>
      <c r="E41" s="216">
        <f t="shared" si="0"/>
        <v>30</v>
      </c>
      <c r="F41" s="213" t="s">
        <v>101</v>
      </c>
      <c r="G41" s="244">
        <v>2</v>
      </c>
      <c r="H41" s="214">
        <v>45</v>
      </c>
      <c r="I41" s="210">
        <f t="shared" si="1"/>
        <v>90</v>
      </c>
      <c r="J41" s="214"/>
    </row>
    <row r="42" spans="1:10" s="209" customFormat="1" ht="32.25" customHeight="1" x14ac:dyDescent="0.25">
      <c r="A42" s="213">
        <f t="shared" si="2"/>
        <v>31</v>
      </c>
      <c r="B42" s="373" t="s">
        <v>731</v>
      </c>
      <c r="C42" s="216" t="s">
        <v>113</v>
      </c>
      <c r="D42" s="213" t="s">
        <v>115</v>
      </c>
      <c r="E42" s="216">
        <f t="shared" si="0"/>
        <v>31</v>
      </c>
      <c r="F42" s="213" t="s">
        <v>69</v>
      </c>
      <c r="G42" s="244">
        <v>480</v>
      </c>
      <c r="H42" s="214">
        <v>16.7</v>
      </c>
      <c r="I42" s="210">
        <f t="shared" si="1"/>
        <v>8016</v>
      </c>
      <c r="J42" s="214"/>
    </row>
    <row r="43" spans="1:10" s="209" customFormat="1" ht="20.100000000000001" customHeight="1" x14ac:dyDescent="0.25">
      <c r="A43" s="213">
        <f t="shared" si="2"/>
        <v>32</v>
      </c>
      <c r="B43" s="373" t="s">
        <v>117</v>
      </c>
      <c r="C43" s="216" t="s">
        <v>116</v>
      </c>
      <c r="D43" s="213" t="s">
        <v>118</v>
      </c>
      <c r="E43" s="216">
        <f t="shared" si="0"/>
        <v>32</v>
      </c>
      <c r="F43" s="213" t="s">
        <v>69</v>
      </c>
      <c r="G43" s="244">
        <v>366</v>
      </c>
      <c r="H43" s="214">
        <v>202</v>
      </c>
      <c r="I43" s="210">
        <f t="shared" si="1"/>
        <v>73932</v>
      </c>
      <c r="J43" s="214"/>
    </row>
    <row r="44" spans="1:10" s="209" customFormat="1" ht="20.100000000000001" customHeight="1" x14ac:dyDescent="0.25">
      <c r="A44" s="213">
        <f t="shared" si="2"/>
        <v>33</v>
      </c>
      <c r="B44" s="373" t="s">
        <v>120</v>
      </c>
      <c r="C44" s="216" t="s">
        <v>119</v>
      </c>
      <c r="D44" s="213" t="s">
        <v>121</v>
      </c>
      <c r="E44" s="216">
        <f t="shared" si="0"/>
        <v>33</v>
      </c>
      <c r="F44" s="213" t="s">
        <v>12</v>
      </c>
      <c r="G44" s="244">
        <v>138</v>
      </c>
      <c r="H44" s="214">
        <v>16.8</v>
      </c>
      <c r="I44" s="210">
        <f t="shared" si="1"/>
        <v>2318.4</v>
      </c>
      <c r="J44" s="214"/>
    </row>
    <row r="45" spans="1:10" s="209" customFormat="1" ht="20.100000000000001" customHeight="1" x14ac:dyDescent="0.25">
      <c r="A45" s="213">
        <f t="shared" si="2"/>
        <v>34</v>
      </c>
      <c r="B45" s="373" t="s">
        <v>123</v>
      </c>
      <c r="C45" s="216" t="s">
        <v>122</v>
      </c>
      <c r="D45" s="213" t="s">
        <v>121</v>
      </c>
      <c r="E45" s="216">
        <f t="shared" si="0"/>
        <v>34</v>
      </c>
      <c r="F45" s="213" t="s">
        <v>12</v>
      </c>
      <c r="G45" s="244">
        <v>391</v>
      </c>
      <c r="H45" s="214">
        <v>5.6</v>
      </c>
      <c r="I45" s="210">
        <f t="shared" si="1"/>
        <v>2189.6</v>
      </c>
      <c r="J45" s="214"/>
    </row>
    <row r="46" spans="1:10" s="209" customFormat="1" ht="20.100000000000001" customHeight="1" x14ac:dyDescent="0.25">
      <c r="A46" s="213">
        <f t="shared" si="2"/>
        <v>35</v>
      </c>
      <c r="B46" s="373" t="s">
        <v>125</v>
      </c>
      <c r="C46" s="216" t="s">
        <v>124</v>
      </c>
      <c r="D46" s="213" t="s">
        <v>121</v>
      </c>
      <c r="E46" s="216">
        <f t="shared" si="0"/>
        <v>35</v>
      </c>
      <c r="F46" s="213" t="s">
        <v>12</v>
      </c>
      <c r="G46" s="244">
        <v>265</v>
      </c>
      <c r="H46" s="214">
        <v>5.3</v>
      </c>
      <c r="I46" s="210">
        <f t="shared" si="1"/>
        <v>1404.5</v>
      </c>
      <c r="J46" s="214"/>
    </row>
    <row r="47" spans="1:10" s="209" customFormat="1" ht="20.100000000000001" customHeight="1" x14ac:dyDescent="0.25">
      <c r="A47" s="213">
        <f t="shared" si="2"/>
        <v>36</v>
      </c>
      <c r="B47" s="373" t="s">
        <v>127</v>
      </c>
      <c r="C47" s="216" t="s">
        <v>126</v>
      </c>
      <c r="D47" s="213" t="s">
        <v>128</v>
      </c>
      <c r="E47" s="216">
        <f t="shared" si="0"/>
        <v>36</v>
      </c>
      <c r="F47" s="213" t="s">
        <v>16</v>
      </c>
      <c r="G47" s="244">
        <v>9</v>
      </c>
      <c r="H47" s="214">
        <v>56</v>
      </c>
      <c r="I47" s="210">
        <f t="shared" si="1"/>
        <v>504</v>
      </c>
      <c r="J47" s="214"/>
    </row>
    <row r="48" spans="1:10" s="209" customFormat="1" ht="32.25" customHeight="1" x14ac:dyDescent="0.25">
      <c r="A48" s="213">
        <f t="shared" si="2"/>
        <v>37</v>
      </c>
      <c r="B48" s="373" t="s">
        <v>130</v>
      </c>
      <c r="C48" s="216" t="s">
        <v>129</v>
      </c>
      <c r="D48" s="213" t="s">
        <v>128</v>
      </c>
      <c r="E48" s="216">
        <f t="shared" si="0"/>
        <v>37</v>
      </c>
      <c r="F48" s="213" t="s">
        <v>16</v>
      </c>
      <c r="G48" s="244">
        <v>2.4</v>
      </c>
      <c r="H48" s="214">
        <v>66.2</v>
      </c>
      <c r="I48" s="210">
        <f t="shared" si="1"/>
        <v>158.88</v>
      </c>
      <c r="J48" s="214"/>
    </row>
    <row r="49" spans="1:13" s="4" customFormat="1" ht="20.100000000000001" customHeight="1" x14ac:dyDescent="0.3">
      <c r="A49" s="213">
        <f t="shared" si="2"/>
        <v>38</v>
      </c>
      <c r="B49" s="373" t="s">
        <v>132</v>
      </c>
      <c r="C49" s="216" t="s">
        <v>131</v>
      </c>
      <c r="D49" s="213" t="s">
        <v>121</v>
      </c>
      <c r="E49" s="216">
        <f t="shared" si="0"/>
        <v>38</v>
      </c>
      <c r="F49" s="213" t="s">
        <v>12</v>
      </c>
      <c r="G49" s="244">
        <v>228.2</v>
      </c>
      <c r="H49" s="214">
        <v>2.1</v>
      </c>
      <c r="I49" s="210">
        <f t="shared" si="1"/>
        <v>479.21999999999997</v>
      </c>
      <c r="J49" s="214"/>
      <c r="L49" s="209"/>
      <c r="M49" s="209"/>
    </row>
    <row r="50" spans="1:13" s="209" customFormat="1" ht="32.25" customHeight="1" x14ac:dyDescent="0.25">
      <c r="A50" s="213">
        <f t="shared" si="2"/>
        <v>39</v>
      </c>
      <c r="B50" s="373" t="s">
        <v>134</v>
      </c>
      <c r="C50" s="216" t="s">
        <v>133</v>
      </c>
      <c r="D50" s="213" t="s">
        <v>135</v>
      </c>
      <c r="E50" s="216">
        <f t="shared" si="0"/>
        <v>39</v>
      </c>
      <c r="F50" s="213" t="s">
        <v>12</v>
      </c>
      <c r="G50" s="244">
        <v>3.9</v>
      </c>
      <c r="H50" s="214">
        <v>2.7</v>
      </c>
      <c r="I50" s="210">
        <f t="shared" si="1"/>
        <v>10.530000000000001</v>
      </c>
      <c r="J50" s="214"/>
    </row>
    <row r="51" spans="1:13" s="4" customFormat="1" ht="20.100000000000001" customHeight="1" x14ac:dyDescent="0.3">
      <c r="A51" s="213">
        <f t="shared" si="2"/>
        <v>40</v>
      </c>
      <c r="B51" s="373" t="s">
        <v>732</v>
      </c>
      <c r="C51" s="216" t="s">
        <v>140</v>
      </c>
      <c r="D51" s="213" t="s">
        <v>121</v>
      </c>
      <c r="E51" s="216">
        <f t="shared" si="0"/>
        <v>40</v>
      </c>
      <c r="F51" s="213" t="s">
        <v>142</v>
      </c>
      <c r="G51" s="244">
        <v>423.3</v>
      </c>
      <c r="H51" s="214">
        <v>0.32</v>
      </c>
      <c r="I51" s="210">
        <f t="shared" si="1"/>
        <v>135.45600000000002</v>
      </c>
      <c r="J51" s="214"/>
    </row>
    <row r="52" spans="1:13" s="209" customFormat="1" ht="32.25" customHeight="1" x14ac:dyDescent="0.25">
      <c r="A52" s="213">
        <f t="shared" si="2"/>
        <v>41</v>
      </c>
      <c r="B52" s="373" t="s">
        <v>146</v>
      </c>
      <c r="C52" s="216" t="s">
        <v>145</v>
      </c>
      <c r="D52" s="213" t="s">
        <v>147</v>
      </c>
      <c r="E52" s="216">
        <f t="shared" si="0"/>
        <v>41</v>
      </c>
      <c r="F52" s="213" t="s">
        <v>12</v>
      </c>
      <c r="G52" s="244">
        <v>1.9</v>
      </c>
      <c r="H52" s="214">
        <v>6.7</v>
      </c>
      <c r="I52" s="210">
        <f t="shared" si="1"/>
        <v>12.73</v>
      </c>
      <c r="J52" s="214"/>
    </row>
    <row r="53" spans="1:13" s="209" customFormat="1" ht="20.100000000000001" customHeight="1" x14ac:dyDescent="0.25">
      <c r="A53" s="213">
        <f t="shared" si="2"/>
        <v>42</v>
      </c>
      <c r="B53" s="373" t="s">
        <v>149</v>
      </c>
      <c r="C53" s="216" t="s">
        <v>148</v>
      </c>
      <c r="D53" s="213" t="s">
        <v>121</v>
      </c>
      <c r="E53" s="216">
        <f t="shared" si="0"/>
        <v>42</v>
      </c>
      <c r="F53" s="213" t="s">
        <v>16</v>
      </c>
      <c r="G53" s="244">
        <v>18.3</v>
      </c>
      <c r="H53" s="214">
        <v>45</v>
      </c>
      <c r="I53" s="210">
        <f t="shared" si="1"/>
        <v>823.5</v>
      </c>
      <c r="J53" s="214"/>
    </row>
    <row r="54" spans="1:13" s="209" customFormat="1" ht="20.100000000000001" customHeight="1" x14ac:dyDescent="0.25">
      <c r="A54" s="213">
        <f t="shared" si="2"/>
        <v>43</v>
      </c>
      <c r="B54" s="373" t="s">
        <v>151</v>
      </c>
      <c r="C54" s="216" t="s">
        <v>150</v>
      </c>
      <c r="D54" s="213" t="s">
        <v>121</v>
      </c>
      <c r="E54" s="216">
        <f t="shared" si="0"/>
        <v>43</v>
      </c>
      <c r="F54" s="213" t="s">
        <v>16</v>
      </c>
      <c r="G54" s="244">
        <v>10.14</v>
      </c>
      <c r="H54" s="214">
        <v>53</v>
      </c>
      <c r="I54" s="210">
        <f t="shared" si="1"/>
        <v>537.42000000000007</v>
      </c>
      <c r="J54" s="214"/>
    </row>
    <row r="55" spans="1:13" s="209" customFormat="1" ht="20.100000000000001" customHeight="1" x14ac:dyDescent="0.25">
      <c r="A55" s="213">
        <f t="shared" si="2"/>
        <v>44</v>
      </c>
      <c r="B55" s="373" t="s">
        <v>1017</v>
      </c>
      <c r="C55" s="216" t="s">
        <v>1018</v>
      </c>
      <c r="D55" s="213" t="s">
        <v>1019</v>
      </c>
      <c r="E55" s="216">
        <f t="shared" si="0"/>
        <v>44</v>
      </c>
      <c r="F55" s="213" t="s">
        <v>12</v>
      </c>
      <c r="G55" s="244">
        <v>824.8</v>
      </c>
      <c r="H55" s="214">
        <v>5.6</v>
      </c>
      <c r="I55" s="210">
        <f t="shared" si="1"/>
        <v>4618.8799999999992</v>
      </c>
      <c r="J55" s="214"/>
    </row>
    <row r="56" spans="1:13" s="209" customFormat="1" ht="20.100000000000001" customHeight="1" x14ac:dyDescent="0.25">
      <c r="A56" s="213">
        <f t="shared" si="2"/>
        <v>45</v>
      </c>
      <c r="B56" s="373" t="s">
        <v>156</v>
      </c>
      <c r="C56" s="216" t="s">
        <v>155</v>
      </c>
      <c r="D56" s="213" t="s">
        <v>157</v>
      </c>
      <c r="E56" s="216">
        <f t="shared" si="0"/>
        <v>45</v>
      </c>
      <c r="F56" s="213" t="s">
        <v>12</v>
      </c>
      <c r="G56" s="244">
        <v>824.8</v>
      </c>
      <c r="H56" s="214">
        <v>5.6</v>
      </c>
      <c r="I56" s="210">
        <f t="shared" si="1"/>
        <v>4618.8799999999992</v>
      </c>
      <c r="J56" s="214"/>
    </row>
    <row r="57" spans="1:13" s="209" customFormat="1" ht="20.100000000000001" customHeight="1" x14ac:dyDescent="0.25">
      <c r="A57" s="213">
        <f t="shared" si="2"/>
        <v>46</v>
      </c>
      <c r="B57" s="373" t="s">
        <v>159</v>
      </c>
      <c r="C57" s="216" t="s">
        <v>158</v>
      </c>
      <c r="D57" s="213" t="s">
        <v>160</v>
      </c>
      <c r="E57" s="216">
        <f t="shared" si="0"/>
        <v>46</v>
      </c>
      <c r="F57" s="213" t="s">
        <v>12</v>
      </c>
      <c r="G57" s="244">
        <v>824.8</v>
      </c>
      <c r="H57" s="214">
        <v>0.65</v>
      </c>
      <c r="I57" s="210">
        <f t="shared" si="1"/>
        <v>536.12</v>
      </c>
      <c r="J57" s="214"/>
    </row>
    <row r="58" spans="1:13" s="209" customFormat="1" ht="26.25" customHeight="1" thickBot="1" x14ac:dyDescent="0.3">
      <c r="A58" s="213">
        <f t="shared" si="2"/>
        <v>47</v>
      </c>
      <c r="B58" s="373" t="s">
        <v>163</v>
      </c>
      <c r="C58" s="216" t="s">
        <v>162</v>
      </c>
      <c r="D58" s="213" t="s">
        <v>161</v>
      </c>
      <c r="E58" s="216">
        <f t="shared" si="0"/>
        <v>47</v>
      </c>
      <c r="F58" s="213" t="s">
        <v>12</v>
      </c>
      <c r="G58" s="244">
        <v>851.4</v>
      </c>
      <c r="H58" s="214">
        <v>46</v>
      </c>
      <c r="I58" s="210">
        <f t="shared" si="1"/>
        <v>39164.400000000001</v>
      </c>
      <c r="J58" s="214"/>
    </row>
    <row r="59" spans="1:13" s="181" customFormat="1" ht="24.9" customHeight="1" thickBot="1" x14ac:dyDescent="0.3">
      <c r="A59" s="184"/>
      <c r="B59" s="173"/>
      <c r="C59" s="305"/>
      <c r="D59" s="520" t="s">
        <v>1232</v>
      </c>
      <c r="E59" s="521"/>
      <c r="F59" s="517"/>
      <c r="G59" s="517"/>
      <c r="H59" s="518"/>
      <c r="I59" s="337">
        <f>SUM(I12:I58)</f>
        <v>229185.00800000003</v>
      </c>
      <c r="J59" s="357">
        <f>SUM(I12:I58)</f>
        <v>229185.00800000003</v>
      </c>
      <c r="L59" s="180"/>
      <c r="M59" s="180"/>
    </row>
    <row r="60" spans="1:13" s="181" customFormat="1" ht="20.100000000000001" customHeight="1" x14ac:dyDescent="0.25">
      <c r="A60" s="179"/>
      <c r="B60" s="172" t="s">
        <v>1041</v>
      </c>
      <c r="C60" s="169"/>
      <c r="D60" s="170" t="s">
        <v>6</v>
      </c>
      <c r="E60" s="307"/>
      <c r="F60" s="170" t="s">
        <v>6</v>
      </c>
      <c r="G60" s="243"/>
      <c r="H60" s="107"/>
      <c r="I60" s="338"/>
      <c r="J60" s="356"/>
    </row>
    <row r="61" spans="1:13" s="4" customFormat="1" ht="39" customHeight="1" x14ac:dyDescent="0.3">
      <c r="A61" s="213">
        <f>A58+1</f>
        <v>48</v>
      </c>
      <c r="B61" s="373" t="s">
        <v>733</v>
      </c>
      <c r="C61" s="216" t="s">
        <v>166</v>
      </c>
      <c r="D61" s="213" t="s">
        <v>168</v>
      </c>
      <c r="E61" s="216">
        <f>A61</f>
        <v>48</v>
      </c>
      <c r="F61" s="213" t="s">
        <v>16</v>
      </c>
      <c r="G61" s="244">
        <v>36.9</v>
      </c>
      <c r="H61" s="214">
        <v>73</v>
      </c>
      <c r="I61" s="210">
        <f>G61*H61</f>
        <v>2693.7</v>
      </c>
      <c r="J61" s="214"/>
    </row>
    <row r="62" spans="1:13" s="4" customFormat="1" ht="39" customHeight="1" x14ac:dyDescent="0.3">
      <c r="A62" s="213">
        <f>A61+1</f>
        <v>49</v>
      </c>
      <c r="B62" s="373" t="s">
        <v>734</v>
      </c>
      <c r="C62" s="216" t="s">
        <v>169</v>
      </c>
      <c r="D62" s="213" t="s">
        <v>171</v>
      </c>
      <c r="E62" s="216">
        <f t="shared" ref="E62:E71" si="3">A62</f>
        <v>49</v>
      </c>
      <c r="F62" s="213" t="s">
        <v>16</v>
      </c>
      <c r="G62" s="244">
        <v>3.9</v>
      </c>
      <c r="H62" s="214">
        <v>84</v>
      </c>
      <c r="I62" s="210">
        <f t="shared" ref="I62:I71" si="4">G62*H62</f>
        <v>327.59999999999997</v>
      </c>
      <c r="J62" s="214"/>
    </row>
    <row r="63" spans="1:13" s="4" customFormat="1" ht="39" customHeight="1" x14ac:dyDescent="0.3">
      <c r="A63" s="213">
        <f t="shared" ref="A63:A71" si="5">A62+1</f>
        <v>50</v>
      </c>
      <c r="B63" s="373" t="s">
        <v>735</v>
      </c>
      <c r="C63" s="216" t="s">
        <v>172</v>
      </c>
      <c r="D63" s="213" t="s">
        <v>174</v>
      </c>
      <c r="E63" s="216">
        <f t="shared" si="3"/>
        <v>50</v>
      </c>
      <c r="F63" s="213" t="s">
        <v>16</v>
      </c>
      <c r="G63" s="244">
        <v>203.6</v>
      </c>
      <c r="H63" s="214">
        <v>90</v>
      </c>
      <c r="I63" s="210">
        <f t="shared" si="4"/>
        <v>18324</v>
      </c>
      <c r="J63" s="214"/>
    </row>
    <row r="64" spans="1:13" s="229" customFormat="1" ht="39" customHeight="1" x14ac:dyDescent="0.3">
      <c r="A64" s="257">
        <f t="shared" si="5"/>
        <v>51</v>
      </c>
      <c r="B64" s="374" t="s">
        <v>1130</v>
      </c>
      <c r="C64" s="306" t="s">
        <v>1079</v>
      </c>
      <c r="D64" s="257" t="s">
        <v>1080</v>
      </c>
      <c r="E64" s="306">
        <f t="shared" si="3"/>
        <v>51</v>
      </c>
      <c r="F64" s="257" t="s">
        <v>179</v>
      </c>
      <c r="G64" s="244">
        <v>126000</v>
      </c>
      <c r="H64" s="244">
        <v>2.4</v>
      </c>
      <c r="I64" s="258">
        <f t="shared" si="4"/>
        <v>302400</v>
      </c>
      <c r="J64" s="244"/>
      <c r="L64" s="260">
        <v>104619.93</v>
      </c>
    </row>
    <row r="65" spans="1:13" s="260" customFormat="1" ht="29.25" customHeight="1" x14ac:dyDescent="0.25">
      <c r="A65" s="257">
        <f t="shared" si="5"/>
        <v>52</v>
      </c>
      <c r="B65" s="374" t="s">
        <v>1020</v>
      </c>
      <c r="C65" s="306" t="s">
        <v>1081</v>
      </c>
      <c r="D65" s="257" t="s">
        <v>174</v>
      </c>
      <c r="E65" s="306">
        <f t="shared" si="3"/>
        <v>52</v>
      </c>
      <c r="F65" s="257" t="s">
        <v>16</v>
      </c>
      <c r="G65" s="244">
        <v>10</v>
      </c>
      <c r="H65" s="244">
        <v>1150</v>
      </c>
      <c r="I65" s="258">
        <f t="shared" si="4"/>
        <v>11500</v>
      </c>
      <c r="J65" s="244"/>
    </row>
    <row r="66" spans="1:13" s="229" customFormat="1" ht="20.100000000000001" customHeight="1" x14ac:dyDescent="0.3">
      <c r="A66" s="257">
        <f t="shared" si="5"/>
        <v>53</v>
      </c>
      <c r="B66" s="374" t="s">
        <v>182</v>
      </c>
      <c r="C66" s="306" t="s">
        <v>181</v>
      </c>
      <c r="D66" s="257" t="s">
        <v>183</v>
      </c>
      <c r="E66" s="306">
        <f t="shared" si="3"/>
        <v>53</v>
      </c>
      <c r="F66" s="257" t="s">
        <v>12</v>
      </c>
      <c r="G66" s="244">
        <v>489.5</v>
      </c>
      <c r="H66" s="244">
        <v>15.7</v>
      </c>
      <c r="I66" s="258">
        <f t="shared" si="4"/>
        <v>7685.15</v>
      </c>
      <c r="J66" s="244"/>
    </row>
    <row r="67" spans="1:13" s="260" customFormat="1" ht="20.100000000000001" customHeight="1" x14ac:dyDescent="0.25">
      <c r="A67" s="257">
        <f t="shared" si="5"/>
        <v>54</v>
      </c>
      <c r="B67" s="374" t="s">
        <v>1021</v>
      </c>
      <c r="C67" s="306" t="s">
        <v>1022</v>
      </c>
      <c r="D67" s="257" t="s">
        <v>188</v>
      </c>
      <c r="E67" s="306">
        <f t="shared" si="3"/>
        <v>54</v>
      </c>
      <c r="F67" s="257" t="s">
        <v>142</v>
      </c>
      <c r="G67" s="244">
        <v>38330</v>
      </c>
      <c r="H67" s="244">
        <v>1.07</v>
      </c>
      <c r="I67" s="258">
        <f t="shared" si="4"/>
        <v>41013.100000000006</v>
      </c>
      <c r="J67" s="244"/>
    </row>
    <row r="68" spans="1:13" s="260" customFormat="1" ht="32.25" customHeight="1" x14ac:dyDescent="0.25">
      <c r="A68" s="257">
        <f t="shared" si="5"/>
        <v>55</v>
      </c>
      <c r="B68" s="375" t="s">
        <v>1131</v>
      </c>
      <c r="C68" s="306" t="s">
        <v>186</v>
      </c>
      <c r="D68" s="257" t="s">
        <v>188</v>
      </c>
      <c r="E68" s="306">
        <f t="shared" si="3"/>
        <v>55</v>
      </c>
      <c r="F68" s="257" t="s">
        <v>189</v>
      </c>
      <c r="G68" s="244">
        <v>2032.6</v>
      </c>
      <c r="H68" s="244">
        <v>10.54</v>
      </c>
      <c r="I68" s="258">
        <f t="shared" si="4"/>
        <v>21423.603999999996</v>
      </c>
      <c r="J68" s="244"/>
    </row>
    <row r="69" spans="1:13" s="209" customFormat="1" ht="20.100000000000001" customHeight="1" x14ac:dyDescent="0.25">
      <c r="A69" s="213">
        <f t="shared" si="5"/>
        <v>56</v>
      </c>
      <c r="B69" s="373" t="s">
        <v>736</v>
      </c>
      <c r="C69" s="216" t="s">
        <v>190</v>
      </c>
      <c r="D69" s="213" t="s">
        <v>188</v>
      </c>
      <c r="E69" s="216">
        <f t="shared" si="3"/>
        <v>56</v>
      </c>
      <c r="F69" s="213" t="s">
        <v>142</v>
      </c>
      <c r="G69" s="244">
        <v>297.7</v>
      </c>
      <c r="H69" s="214">
        <v>1.01</v>
      </c>
      <c r="I69" s="210">
        <f t="shared" si="4"/>
        <v>300.67699999999996</v>
      </c>
      <c r="J69" s="214"/>
    </row>
    <row r="70" spans="1:13" s="4" customFormat="1" ht="32.25" customHeight="1" x14ac:dyDescent="0.3">
      <c r="A70" s="213">
        <f t="shared" si="5"/>
        <v>57</v>
      </c>
      <c r="B70" s="373" t="s">
        <v>737</v>
      </c>
      <c r="C70" s="216" t="s">
        <v>194</v>
      </c>
      <c r="D70" s="213" t="s">
        <v>196</v>
      </c>
      <c r="E70" s="216">
        <f t="shared" si="3"/>
        <v>57</v>
      </c>
      <c r="F70" s="213" t="s">
        <v>142</v>
      </c>
      <c r="G70" s="244">
        <v>1000</v>
      </c>
      <c r="H70" s="214">
        <v>5</v>
      </c>
      <c r="I70" s="210">
        <f t="shared" si="4"/>
        <v>5000</v>
      </c>
      <c r="J70" s="214"/>
    </row>
    <row r="71" spans="1:13" s="209" customFormat="1" ht="32.25" customHeight="1" thickBot="1" x14ac:dyDescent="0.3">
      <c r="A71" s="213">
        <f t="shared" si="5"/>
        <v>58</v>
      </c>
      <c r="B71" s="373" t="s">
        <v>198</v>
      </c>
      <c r="C71" s="216" t="s">
        <v>197</v>
      </c>
      <c r="D71" s="213" t="s">
        <v>196</v>
      </c>
      <c r="E71" s="216">
        <f t="shared" si="3"/>
        <v>58</v>
      </c>
      <c r="F71" s="213" t="s">
        <v>12</v>
      </c>
      <c r="G71" s="244">
        <v>415.4</v>
      </c>
      <c r="H71" s="214">
        <v>2.2000000000000002</v>
      </c>
      <c r="I71" s="210">
        <f t="shared" si="4"/>
        <v>913.88</v>
      </c>
      <c r="J71" s="214"/>
    </row>
    <row r="72" spans="1:13" s="181" customFormat="1" ht="24.9" customHeight="1" thickBot="1" x14ac:dyDescent="0.3">
      <c r="A72" s="184"/>
      <c r="B72" s="173"/>
      <c r="C72" s="305"/>
      <c r="D72" s="520" t="s">
        <v>1233</v>
      </c>
      <c r="E72" s="521"/>
      <c r="F72" s="517"/>
      <c r="G72" s="517"/>
      <c r="H72" s="518"/>
      <c r="I72" s="337">
        <f>SUM(I61:I71)</f>
        <v>411581.71100000007</v>
      </c>
      <c r="J72" s="358">
        <f>SUM(I61:I71)</f>
        <v>411581.71100000007</v>
      </c>
      <c r="L72" s="180"/>
      <c r="M72" s="180"/>
    </row>
    <row r="73" spans="1:13" s="181" customFormat="1" ht="20.100000000000001" customHeight="1" x14ac:dyDescent="0.25">
      <c r="A73" s="179"/>
      <c r="B73" s="172" t="s">
        <v>1042</v>
      </c>
      <c r="C73" s="169"/>
      <c r="D73" s="170" t="s">
        <v>6</v>
      </c>
      <c r="E73" s="307"/>
      <c r="F73" s="170" t="s">
        <v>6</v>
      </c>
      <c r="G73" s="243"/>
      <c r="H73" s="107"/>
      <c r="I73" s="338"/>
      <c r="J73" s="356"/>
    </row>
    <row r="74" spans="1:13" s="209" customFormat="1" ht="20.100000000000001" customHeight="1" x14ac:dyDescent="0.25">
      <c r="A74" s="213">
        <f>A71+1</f>
        <v>59</v>
      </c>
      <c r="B74" s="373" t="s">
        <v>1023</v>
      </c>
      <c r="C74" s="216" t="s">
        <v>201</v>
      </c>
      <c r="D74" s="213" t="s">
        <v>203</v>
      </c>
      <c r="E74" s="216">
        <f>A74</f>
        <v>59</v>
      </c>
      <c r="F74" s="213" t="s">
        <v>16</v>
      </c>
      <c r="G74" s="244">
        <v>10.7</v>
      </c>
      <c r="H74" s="214">
        <v>70</v>
      </c>
      <c r="I74" s="210">
        <f>G74*H74</f>
        <v>749</v>
      </c>
      <c r="J74" s="214"/>
    </row>
    <row r="75" spans="1:13" s="209" customFormat="1" ht="20.100000000000001" customHeight="1" x14ac:dyDescent="0.25">
      <c r="A75" s="213">
        <f>A74+1</f>
        <v>60</v>
      </c>
      <c r="B75" s="373" t="s">
        <v>205</v>
      </c>
      <c r="C75" s="216" t="s">
        <v>204</v>
      </c>
      <c r="D75" s="213" t="s">
        <v>203</v>
      </c>
      <c r="E75" s="216">
        <f t="shared" ref="E75:E86" si="6">A75</f>
        <v>60</v>
      </c>
      <c r="F75" s="281" t="s">
        <v>69</v>
      </c>
      <c r="G75" s="244">
        <v>60</v>
      </c>
      <c r="H75" s="214">
        <v>17.3</v>
      </c>
      <c r="I75" s="210">
        <f t="shared" ref="I75:I86" si="7">G75*H75</f>
        <v>1038</v>
      </c>
      <c r="J75" s="214"/>
    </row>
    <row r="76" spans="1:13" s="209" customFormat="1" ht="32.25" customHeight="1" x14ac:dyDescent="0.25">
      <c r="A76" s="213">
        <f t="shared" ref="A76:A86" si="8">A75+1</f>
        <v>61</v>
      </c>
      <c r="B76" s="373" t="s">
        <v>209</v>
      </c>
      <c r="C76" s="216" t="s">
        <v>208</v>
      </c>
      <c r="D76" s="213" t="s">
        <v>210</v>
      </c>
      <c r="E76" s="216">
        <f t="shared" si="6"/>
        <v>61</v>
      </c>
      <c r="F76" s="213" t="s">
        <v>16</v>
      </c>
      <c r="G76" s="244">
        <v>24.4</v>
      </c>
      <c r="H76" s="214">
        <v>123</v>
      </c>
      <c r="I76" s="210">
        <f t="shared" si="7"/>
        <v>3001.2</v>
      </c>
      <c r="J76" s="214"/>
    </row>
    <row r="77" spans="1:13" s="209" customFormat="1" ht="20.100000000000001" customHeight="1" x14ac:dyDescent="0.25">
      <c r="A77" s="213">
        <f t="shared" si="8"/>
        <v>62</v>
      </c>
      <c r="B77" s="373" t="s">
        <v>212</v>
      </c>
      <c r="C77" s="216" t="s">
        <v>211</v>
      </c>
      <c r="D77" s="213" t="s">
        <v>1143</v>
      </c>
      <c r="E77" s="216">
        <f t="shared" si="6"/>
        <v>62</v>
      </c>
      <c r="F77" s="213" t="s">
        <v>16</v>
      </c>
      <c r="G77" s="244">
        <v>20</v>
      </c>
      <c r="H77" s="214">
        <v>175</v>
      </c>
      <c r="I77" s="210">
        <f t="shared" si="7"/>
        <v>3500</v>
      </c>
      <c r="J77" s="214"/>
    </row>
    <row r="78" spans="1:13" s="209" customFormat="1" ht="20.100000000000001" customHeight="1" x14ac:dyDescent="0.25">
      <c r="A78" s="213">
        <f t="shared" si="8"/>
        <v>63</v>
      </c>
      <c r="B78" s="373" t="s">
        <v>218</v>
      </c>
      <c r="C78" s="216" t="s">
        <v>217</v>
      </c>
      <c r="D78" s="213" t="s">
        <v>216</v>
      </c>
      <c r="E78" s="216">
        <f t="shared" si="6"/>
        <v>63</v>
      </c>
      <c r="F78" s="213" t="s">
        <v>12</v>
      </c>
      <c r="G78" s="244">
        <v>824.8</v>
      </c>
      <c r="H78" s="214">
        <v>28.8</v>
      </c>
      <c r="I78" s="210">
        <f t="shared" si="7"/>
        <v>23754.239999999998</v>
      </c>
      <c r="J78" s="214"/>
    </row>
    <row r="79" spans="1:13" s="209" customFormat="1" ht="39" customHeight="1" x14ac:dyDescent="0.25">
      <c r="A79" s="213">
        <f t="shared" si="8"/>
        <v>64</v>
      </c>
      <c r="B79" s="373" t="s">
        <v>738</v>
      </c>
      <c r="C79" s="216" t="s">
        <v>221</v>
      </c>
      <c r="D79" s="213" t="s">
        <v>223</v>
      </c>
      <c r="E79" s="216">
        <f t="shared" si="6"/>
        <v>64</v>
      </c>
      <c r="F79" s="213" t="s">
        <v>12</v>
      </c>
      <c r="G79" s="244">
        <v>46.7</v>
      </c>
      <c r="H79" s="214">
        <v>22.5</v>
      </c>
      <c r="I79" s="210">
        <f t="shared" si="7"/>
        <v>1050.75</v>
      </c>
      <c r="J79" s="359"/>
    </row>
    <row r="80" spans="1:13" s="4" customFormat="1" ht="39" customHeight="1" x14ac:dyDescent="0.3">
      <c r="A80" s="213">
        <f t="shared" si="8"/>
        <v>65</v>
      </c>
      <c r="B80" s="373" t="s">
        <v>739</v>
      </c>
      <c r="C80" s="216" t="s">
        <v>224</v>
      </c>
      <c r="D80" s="213" t="s">
        <v>223</v>
      </c>
      <c r="E80" s="216">
        <f t="shared" si="6"/>
        <v>65</v>
      </c>
      <c r="F80" s="213" t="s">
        <v>12</v>
      </c>
      <c r="G80" s="244">
        <v>37.299999999999997</v>
      </c>
      <c r="H80" s="214">
        <v>39</v>
      </c>
      <c r="I80" s="210">
        <f t="shared" si="7"/>
        <v>1454.6999999999998</v>
      </c>
      <c r="J80" s="214"/>
    </row>
    <row r="81" spans="1:13" s="181" customFormat="1" ht="32.25" customHeight="1" x14ac:dyDescent="0.25">
      <c r="A81" s="213">
        <f t="shared" si="8"/>
        <v>66</v>
      </c>
      <c r="B81" s="376" t="s">
        <v>229</v>
      </c>
      <c r="C81" s="307" t="s">
        <v>228</v>
      </c>
      <c r="D81" s="170" t="s">
        <v>230</v>
      </c>
      <c r="E81" s="216">
        <f t="shared" si="6"/>
        <v>66</v>
      </c>
      <c r="F81" s="281" t="s">
        <v>69</v>
      </c>
      <c r="G81" s="243">
        <v>5.0999999999999996</v>
      </c>
      <c r="H81" s="107">
        <v>218</v>
      </c>
      <c r="I81" s="210">
        <f t="shared" si="7"/>
        <v>1111.8</v>
      </c>
      <c r="J81" s="356"/>
    </row>
    <row r="82" spans="1:13" s="4" customFormat="1" ht="20.100000000000001" customHeight="1" x14ac:dyDescent="0.3">
      <c r="A82" s="213">
        <f t="shared" si="8"/>
        <v>67</v>
      </c>
      <c r="B82" s="373" t="s">
        <v>233</v>
      </c>
      <c r="C82" s="216" t="s">
        <v>232</v>
      </c>
      <c r="D82" s="213" t="s">
        <v>234</v>
      </c>
      <c r="E82" s="216">
        <f t="shared" si="6"/>
        <v>67</v>
      </c>
      <c r="F82" s="213" t="s">
        <v>69</v>
      </c>
      <c r="G82" s="244">
        <v>15.1</v>
      </c>
      <c r="H82" s="214">
        <v>16.8</v>
      </c>
      <c r="I82" s="210">
        <f t="shared" si="7"/>
        <v>253.68</v>
      </c>
      <c r="J82" s="214"/>
    </row>
    <row r="83" spans="1:13" s="4" customFormat="1" ht="20.100000000000001" customHeight="1" x14ac:dyDescent="0.3">
      <c r="A83" s="213">
        <f t="shared" si="8"/>
        <v>68</v>
      </c>
      <c r="B83" s="373" t="s">
        <v>236</v>
      </c>
      <c r="C83" s="216" t="s">
        <v>235</v>
      </c>
      <c r="D83" s="213" t="s">
        <v>234</v>
      </c>
      <c r="E83" s="216">
        <f t="shared" si="6"/>
        <v>68</v>
      </c>
      <c r="F83" s="213" t="s">
        <v>69</v>
      </c>
      <c r="G83" s="244">
        <v>11.1</v>
      </c>
      <c r="H83" s="214">
        <v>19.7</v>
      </c>
      <c r="I83" s="210">
        <f t="shared" si="7"/>
        <v>218.67</v>
      </c>
      <c r="J83" s="359"/>
    </row>
    <row r="84" spans="1:13" s="209" customFormat="1" ht="20.100000000000001" customHeight="1" x14ac:dyDescent="0.25">
      <c r="A84" s="213">
        <f t="shared" si="8"/>
        <v>69</v>
      </c>
      <c r="B84" s="373" t="s">
        <v>238</v>
      </c>
      <c r="C84" s="216" t="s">
        <v>237</v>
      </c>
      <c r="D84" s="213" t="s">
        <v>234</v>
      </c>
      <c r="E84" s="216">
        <f t="shared" si="6"/>
        <v>69</v>
      </c>
      <c r="F84" s="213" t="s">
        <v>69</v>
      </c>
      <c r="G84" s="244">
        <v>60</v>
      </c>
      <c r="H84" s="214">
        <v>53</v>
      </c>
      <c r="I84" s="210">
        <f t="shared" si="7"/>
        <v>3180</v>
      </c>
      <c r="J84" s="214"/>
    </row>
    <row r="85" spans="1:13" s="4" customFormat="1" ht="20.100000000000001" customHeight="1" x14ac:dyDescent="0.3">
      <c r="A85" s="213">
        <f t="shared" si="8"/>
        <v>70</v>
      </c>
      <c r="B85" s="373" t="s">
        <v>1027</v>
      </c>
      <c r="C85" s="216" t="s">
        <v>1028</v>
      </c>
      <c r="D85" s="213" t="s">
        <v>1029</v>
      </c>
      <c r="E85" s="216">
        <f t="shared" si="6"/>
        <v>70</v>
      </c>
      <c r="F85" s="213" t="s">
        <v>12</v>
      </c>
      <c r="G85" s="244">
        <v>1740.2056904761732</v>
      </c>
      <c r="H85" s="214">
        <v>16.8</v>
      </c>
      <c r="I85" s="210">
        <f t="shared" si="7"/>
        <v>29235.45559999971</v>
      </c>
      <c r="J85" s="214"/>
    </row>
    <row r="86" spans="1:13" s="4" customFormat="1" ht="20.100000000000001" customHeight="1" thickBot="1" x14ac:dyDescent="0.35">
      <c r="A86" s="213">
        <f t="shared" si="8"/>
        <v>71</v>
      </c>
      <c r="B86" s="373" t="s">
        <v>1030</v>
      </c>
      <c r="C86" s="216" t="s">
        <v>1031</v>
      </c>
      <c r="D86" s="213" t="s">
        <v>1032</v>
      </c>
      <c r="E86" s="216">
        <f t="shared" si="6"/>
        <v>71</v>
      </c>
      <c r="F86" s="213" t="s">
        <v>12</v>
      </c>
      <c r="G86" s="244">
        <v>585</v>
      </c>
      <c r="H86" s="214">
        <v>13.5</v>
      </c>
      <c r="I86" s="210">
        <f t="shared" si="7"/>
        <v>7897.5</v>
      </c>
      <c r="J86" s="214"/>
    </row>
    <row r="87" spans="1:13" s="181" customFormat="1" ht="24.9" customHeight="1" thickBot="1" x14ac:dyDescent="0.3">
      <c r="A87" s="184"/>
      <c r="B87" s="173"/>
      <c r="C87" s="305"/>
      <c r="D87" s="520" t="s">
        <v>1234</v>
      </c>
      <c r="E87" s="521"/>
      <c r="F87" s="517"/>
      <c r="G87" s="517"/>
      <c r="H87" s="518"/>
      <c r="I87" s="337">
        <f>SUM(I74:I86)</f>
        <v>76444.995599999704</v>
      </c>
      <c r="J87" s="357">
        <f>SUM(I74:I86)</f>
        <v>76444.995599999704</v>
      </c>
      <c r="L87" s="180"/>
      <c r="M87" s="180"/>
    </row>
    <row r="88" spans="1:13" s="256" customFormat="1" ht="20.100000000000001" customHeight="1" x14ac:dyDescent="0.25">
      <c r="A88" s="252"/>
      <c r="B88" s="377" t="s">
        <v>1231</v>
      </c>
      <c r="C88" s="253"/>
      <c r="D88" s="255"/>
      <c r="E88" s="254"/>
      <c r="F88" s="255"/>
      <c r="G88" s="243"/>
      <c r="H88" s="243"/>
      <c r="I88" s="339"/>
      <c r="J88" s="360"/>
    </row>
    <row r="89" spans="1:13" s="229" customFormat="1" ht="20.100000000000001" customHeight="1" x14ac:dyDescent="0.3">
      <c r="A89" s="257">
        <f>A86+1</f>
        <v>72</v>
      </c>
      <c r="B89" s="374" t="s">
        <v>1070</v>
      </c>
      <c r="C89" s="306" t="s">
        <v>1071</v>
      </c>
      <c r="D89" s="257" t="s">
        <v>1072</v>
      </c>
      <c r="E89" s="306">
        <f>A89</f>
        <v>72</v>
      </c>
      <c r="F89" s="257" t="s">
        <v>12</v>
      </c>
      <c r="G89" s="244">
        <v>340</v>
      </c>
      <c r="H89" s="244">
        <v>23.5</v>
      </c>
      <c r="I89" s="258">
        <f>G89*H89</f>
        <v>7990</v>
      </c>
      <c r="J89" s="244"/>
    </row>
    <row r="90" spans="1:13" s="260" customFormat="1" ht="20.100000000000001" customHeight="1" x14ac:dyDescent="0.25">
      <c r="A90" s="257">
        <f>A89+1</f>
        <v>73</v>
      </c>
      <c r="B90" s="374" t="s">
        <v>314</v>
      </c>
      <c r="C90" s="306" t="s">
        <v>313</v>
      </c>
      <c r="D90" s="257" t="s">
        <v>315</v>
      </c>
      <c r="E90" s="306">
        <f t="shared" ref="E90:E112" si="9">A90</f>
        <v>73</v>
      </c>
      <c r="F90" s="257" t="s">
        <v>12</v>
      </c>
      <c r="G90" s="261">
        <v>250.1</v>
      </c>
      <c r="H90" s="261">
        <v>28</v>
      </c>
      <c r="I90" s="258">
        <f t="shared" ref="I90" si="10">G90*H90</f>
        <v>7002.8</v>
      </c>
      <c r="J90" s="244"/>
      <c r="K90" s="259"/>
    </row>
    <row r="91" spans="1:13" s="209" customFormat="1" ht="20.100000000000001" customHeight="1" x14ac:dyDescent="0.25">
      <c r="A91" s="213">
        <f>A90+1</f>
        <v>74</v>
      </c>
      <c r="B91" s="373" t="s">
        <v>317</v>
      </c>
      <c r="C91" s="216" t="s">
        <v>1103</v>
      </c>
      <c r="D91" s="213" t="s">
        <v>1104</v>
      </c>
      <c r="E91" s="216">
        <f t="shared" si="9"/>
        <v>74</v>
      </c>
      <c r="F91" s="213" t="s">
        <v>69</v>
      </c>
      <c r="G91" s="244">
        <v>29.9</v>
      </c>
      <c r="H91" s="214">
        <v>36</v>
      </c>
      <c r="I91" s="210">
        <f t="shared" ref="I91:I112" si="11">G91*H91</f>
        <v>1076.3999999999999</v>
      </c>
      <c r="J91" s="214"/>
    </row>
    <row r="92" spans="1:13" s="209" customFormat="1" ht="20.100000000000001" customHeight="1" x14ac:dyDescent="0.25">
      <c r="A92" s="213">
        <f t="shared" ref="A92:A112" si="12">A91+1</f>
        <v>75</v>
      </c>
      <c r="B92" s="373" t="s">
        <v>319</v>
      </c>
      <c r="C92" s="216" t="s">
        <v>318</v>
      </c>
      <c r="D92" s="213" t="s">
        <v>320</v>
      </c>
      <c r="E92" s="216">
        <f t="shared" si="9"/>
        <v>75</v>
      </c>
      <c r="F92" s="213" t="s">
        <v>12</v>
      </c>
      <c r="G92" s="244">
        <v>24.5</v>
      </c>
      <c r="H92" s="214">
        <v>31.5</v>
      </c>
      <c r="I92" s="210">
        <f t="shared" si="11"/>
        <v>771.75</v>
      </c>
      <c r="J92" s="214"/>
    </row>
    <row r="93" spans="1:13" s="4" customFormat="1" ht="20.100000000000001" customHeight="1" x14ac:dyDescent="0.3">
      <c r="A93" s="213">
        <f t="shared" si="12"/>
        <v>76</v>
      </c>
      <c r="B93" s="373" t="s">
        <v>322</v>
      </c>
      <c r="C93" s="216" t="s">
        <v>321</v>
      </c>
      <c r="D93" s="213" t="s">
        <v>323</v>
      </c>
      <c r="E93" s="216">
        <f t="shared" si="9"/>
        <v>76</v>
      </c>
      <c r="F93" s="213" t="s">
        <v>12</v>
      </c>
      <c r="G93" s="244">
        <v>99.9</v>
      </c>
      <c r="H93" s="214">
        <v>33.5</v>
      </c>
      <c r="I93" s="210">
        <f t="shared" si="11"/>
        <v>3346.65</v>
      </c>
      <c r="J93" s="359"/>
    </row>
    <row r="94" spans="1:13" s="4" customFormat="1" ht="20.100000000000001" customHeight="1" x14ac:dyDescent="0.3">
      <c r="A94" s="213">
        <f t="shared" si="12"/>
        <v>77</v>
      </c>
      <c r="B94" s="373" t="s">
        <v>325</v>
      </c>
      <c r="C94" s="216" t="s">
        <v>324</v>
      </c>
      <c r="D94" s="213" t="s">
        <v>326</v>
      </c>
      <c r="E94" s="216">
        <f t="shared" si="9"/>
        <v>77</v>
      </c>
      <c r="F94" s="213" t="s">
        <v>69</v>
      </c>
      <c r="G94" s="244">
        <v>60</v>
      </c>
      <c r="H94" s="214">
        <v>9</v>
      </c>
      <c r="I94" s="210">
        <f t="shared" si="11"/>
        <v>540</v>
      </c>
      <c r="J94" s="214"/>
    </row>
    <row r="95" spans="1:13" s="4" customFormat="1" ht="20.100000000000001" customHeight="1" x14ac:dyDescent="0.3">
      <c r="A95" s="213">
        <f t="shared" si="12"/>
        <v>78</v>
      </c>
      <c r="B95" s="373" t="s">
        <v>1045</v>
      </c>
      <c r="C95" s="216" t="s">
        <v>1053</v>
      </c>
      <c r="D95" s="213" t="s">
        <v>1061</v>
      </c>
      <c r="E95" s="216">
        <f t="shared" si="9"/>
        <v>78</v>
      </c>
      <c r="F95" s="213" t="s">
        <v>12</v>
      </c>
      <c r="G95" s="244">
        <v>620</v>
      </c>
      <c r="H95" s="214">
        <v>1.7</v>
      </c>
      <c r="I95" s="210">
        <f t="shared" si="11"/>
        <v>1054</v>
      </c>
      <c r="J95" s="359"/>
    </row>
    <row r="96" spans="1:13" s="4" customFormat="1" ht="20.100000000000001" customHeight="1" x14ac:dyDescent="0.3">
      <c r="A96" s="213">
        <f t="shared" si="12"/>
        <v>79</v>
      </c>
      <c r="B96" s="373" t="s">
        <v>1046</v>
      </c>
      <c r="C96" s="216" t="s">
        <v>1054</v>
      </c>
      <c r="D96" s="213" t="s">
        <v>1062</v>
      </c>
      <c r="E96" s="216">
        <f t="shared" si="9"/>
        <v>79</v>
      </c>
      <c r="F96" s="213" t="s">
        <v>12</v>
      </c>
      <c r="G96" s="244">
        <v>800</v>
      </c>
      <c r="H96" s="214">
        <v>2.2000000000000002</v>
      </c>
      <c r="I96" s="210">
        <f t="shared" si="11"/>
        <v>1760.0000000000002</v>
      </c>
      <c r="J96" s="359"/>
    </row>
    <row r="97" spans="1:13" s="4" customFormat="1" ht="39.6" x14ac:dyDescent="0.3">
      <c r="A97" s="213">
        <f t="shared" si="12"/>
        <v>80</v>
      </c>
      <c r="B97" s="373" t="s">
        <v>1047</v>
      </c>
      <c r="C97" s="216" t="s">
        <v>1055</v>
      </c>
      <c r="D97" s="213" t="s">
        <v>1063</v>
      </c>
      <c r="E97" s="216">
        <f t="shared" si="9"/>
        <v>80</v>
      </c>
      <c r="F97" s="213" t="s">
        <v>12</v>
      </c>
      <c r="G97" s="244">
        <v>100</v>
      </c>
      <c r="H97" s="214">
        <v>2.2000000000000002</v>
      </c>
      <c r="I97" s="210">
        <f t="shared" si="11"/>
        <v>220.00000000000003</v>
      </c>
      <c r="J97" s="359"/>
    </row>
    <row r="98" spans="1:13" s="4" customFormat="1" ht="26.4" x14ac:dyDescent="0.3">
      <c r="A98" s="213">
        <f t="shared" si="12"/>
        <v>81</v>
      </c>
      <c r="B98" s="373" t="s">
        <v>1048</v>
      </c>
      <c r="C98" s="216" t="s">
        <v>1056</v>
      </c>
      <c r="D98" s="213" t="s">
        <v>1061</v>
      </c>
      <c r="E98" s="216">
        <f t="shared" si="9"/>
        <v>81</v>
      </c>
      <c r="F98" s="213" t="s">
        <v>12</v>
      </c>
      <c r="G98" s="244">
        <v>80</v>
      </c>
      <c r="H98" s="214">
        <v>2.25</v>
      </c>
      <c r="I98" s="210">
        <f t="shared" si="11"/>
        <v>180</v>
      </c>
      <c r="J98" s="359"/>
    </row>
    <row r="99" spans="1:13" s="4" customFormat="1" ht="26.4" x14ac:dyDescent="0.3">
      <c r="A99" s="213">
        <f t="shared" si="12"/>
        <v>82</v>
      </c>
      <c r="B99" s="373" t="s">
        <v>1049</v>
      </c>
      <c r="C99" s="216" t="s">
        <v>1057</v>
      </c>
      <c r="D99" s="213" t="s">
        <v>1064</v>
      </c>
      <c r="E99" s="216">
        <f t="shared" si="9"/>
        <v>82</v>
      </c>
      <c r="F99" s="213" t="s">
        <v>12</v>
      </c>
      <c r="G99" s="244">
        <v>100</v>
      </c>
      <c r="H99" s="214">
        <v>6.7</v>
      </c>
      <c r="I99" s="210">
        <f t="shared" si="11"/>
        <v>670</v>
      </c>
      <c r="J99" s="359"/>
    </row>
    <row r="100" spans="1:13" s="4" customFormat="1" ht="26.4" x14ac:dyDescent="0.3">
      <c r="A100" s="213">
        <f t="shared" si="12"/>
        <v>83</v>
      </c>
      <c r="B100" s="373" t="s">
        <v>1068</v>
      </c>
      <c r="C100" s="216" t="s">
        <v>1069</v>
      </c>
      <c r="D100" s="213" t="s">
        <v>1065</v>
      </c>
      <c r="E100" s="216">
        <f t="shared" si="9"/>
        <v>83</v>
      </c>
      <c r="F100" s="213" t="s">
        <v>12</v>
      </c>
      <c r="G100" s="244">
        <v>500</v>
      </c>
      <c r="H100" s="214">
        <v>10.7</v>
      </c>
      <c r="I100" s="210">
        <f t="shared" si="11"/>
        <v>5350</v>
      </c>
      <c r="J100" s="359"/>
    </row>
    <row r="101" spans="1:13" s="4" customFormat="1" ht="26.4" x14ac:dyDescent="0.3">
      <c r="A101" s="213">
        <f t="shared" si="12"/>
        <v>84</v>
      </c>
      <c r="B101" s="373" t="s">
        <v>1050</v>
      </c>
      <c r="C101" s="216" t="s">
        <v>1058</v>
      </c>
      <c r="D101" s="213" t="s">
        <v>1065</v>
      </c>
      <c r="E101" s="216">
        <f t="shared" si="9"/>
        <v>84</v>
      </c>
      <c r="F101" s="213" t="s">
        <v>12</v>
      </c>
      <c r="G101" s="244">
        <v>300</v>
      </c>
      <c r="H101" s="214">
        <v>15.7</v>
      </c>
      <c r="I101" s="210">
        <f t="shared" si="11"/>
        <v>4710</v>
      </c>
      <c r="J101" s="359"/>
    </row>
    <row r="102" spans="1:13" s="4" customFormat="1" ht="26.4" x14ac:dyDescent="0.3">
      <c r="A102" s="213">
        <f t="shared" si="12"/>
        <v>85</v>
      </c>
      <c r="B102" s="373" t="s">
        <v>1051</v>
      </c>
      <c r="C102" s="216" t="s">
        <v>1059</v>
      </c>
      <c r="D102" s="213" t="s">
        <v>1066</v>
      </c>
      <c r="E102" s="216">
        <f t="shared" si="9"/>
        <v>85</v>
      </c>
      <c r="F102" s="213" t="s">
        <v>12</v>
      </c>
      <c r="G102" s="244">
        <v>80</v>
      </c>
      <c r="H102" s="214">
        <v>10.1</v>
      </c>
      <c r="I102" s="210">
        <f t="shared" si="11"/>
        <v>808</v>
      </c>
      <c r="J102" s="359"/>
    </row>
    <row r="103" spans="1:13" s="4" customFormat="1" ht="26.4" x14ac:dyDescent="0.3">
      <c r="A103" s="213">
        <f t="shared" si="12"/>
        <v>86</v>
      </c>
      <c r="B103" s="373" t="s">
        <v>1052</v>
      </c>
      <c r="C103" s="216" t="s">
        <v>1060</v>
      </c>
      <c r="D103" s="213" t="s">
        <v>1067</v>
      </c>
      <c r="E103" s="216">
        <f t="shared" si="9"/>
        <v>86</v>
      </c>
      <c r="F103" s="213" t="s">
        <v>12</v>
      </c>
      <c r="G103" s="244">
        <v>620</v>
      </c>
      <c r="H103" s="214">
        <v>13.5</v>
      </c>
      <c r="I103" s="210">
        <f t="shared" si="11"/>
        <v>8370</v>
      </c>
      <c r="J103" s="359"/>
    </row>
    <row r="104" spans="1:13" s="209" customFormat="1" ht="27.75" customHeight="1" x14ac:dyDescent="0.25">
      <c r="A104" s="213">
        <f t="shared" si="12"/>
        <v>87</v>
      </c>
      <c r="B104" s="373" t="s">
        <v>328</v>
      </c>
      <c r="C104" s="216" t="s">
        <v>327</v>
      </c>
      <c r="D104" s="213" t="s">
        <v>329</v>
      </c>
      <c r="E104" s="216">
        <f t="shared" si="9"/>
        <v>87</v>
      </c>
      <c r="F104" s="213" t="s">
        <v>12</v>
      </c>
      <c r="G104" s="244">
        <v>2.2999999999999998</v>
      </c>
      <c r="H104" s="214">
        <v>106</v>
      </c>
      <c r="I104" s="210">
        <f t="shared" si="11"/>
        <v>243.79999999999998</v>
      </c>
      <c r="J104" s="359"/>
      <c r="K104" s="218"/>
    </row>
    <row r="105" spans="1:13" s="209" customFormat="1" ht="20.100000000000001" customHeight="1" x14ac:dyDescent="0.25">
      <c r="A105" s="213">
        <f t="shared" si="12"/>
        <v>88</v>
      </c>
      <c r="B105" s="373" t="s">
        <v>333</v>
      </c>
      <c r="C105" s="216" t="s">
        <v>332</v>
      </c>
      <c r="D105" s="213" t="s">
        <v>334</v>
      </c>
      <c r="E105" s="216">
        <f t="shared" si="9"/>
        <v>88</v>
      </c>
      <c r="F105" s="213" t="s">
        <v>12</v>
      </c>
      <c r="G105" s="244">
        <v>17.8</v>
      </c>
      <c r="H105" s="214">
        <v>132</v>
      </c>
      <c r="I105" s="210">
        <f t="shared" si="11"/>
        <v>2349.6</v>
      </c>
      <c r="J105" s="214"/>
    </row>
    <row r="106" spans="1:13" s="4" customFormat="1" ht="27.75" customHeight="1" x14ac:dyDescent="0.3">
      <c r="A106" s="213">
        <f t="shared" si="12"/>
        <v>89</v>
      </c>
      <c r="B106" s="373" t="s">
        <v>369</v>
      </c>
      <c r="C106" s="216" t="s">
        <v>368</v>
      </c>
      <c r="D106" s="281" t="s">
        <v>1139</v>
      </c>
      <c r="E106" s="216">
        <f t="shared" si="9"/>
        <v>89</v>
      </c>
      <c r="F106" s="213" t="s">
        <v>12</v>
      </c>
      <c r="G106" s="244">
        <v>39</v>
      </c>
      <c r="H106" s="214">
        <v>54.3</v>
      </c>
      <c r="I106" s="210">
        <f t="shared" si="11"/>
        <v>2117.6999999999998</v>
      </c>
      <c r="J106" s="214"/>
      <c r="L106" s="209"/>
      <c r="M106" s="209"/>
    </row>
    <row r="107" spans="1:13" s="4" customFormat="1" ht="27.75" customHeight="1" x14ac:dyDescent="0.3">
      <c r="A107" s="213">
        <f t="shared" si="12"/>
        <v>90</v>
      </c>
      <c r="B107" s="373" t="s">
        <v>1073</v>
      </c>
      <c r="C107" s="216" t="s">
        <v>1074</v>
      </c>
      <c r="D107" s="213" t="s">
        <v>1075</v>
      </c>
      <c r="E107" s="216">
        <f t="shared" si="9"/>
        <v>90</v>
      </c>
      <c r="F107" s="213" t="s">
        <v>12</v>
      </c>
      <c r="G107" s="244">
        <f>60*2*2</f>
        <v>240</v>
      </c>
      <c r="H107" s="214">
        <v>13</v>
      </c>
      <c r="I107" s="210">
        <f t="shared" si="11"/>
        <v>3120</v>
      </c>
      <c r="J107" s="214"/>
      <c r="L107" s="209"/>
      <c r="M107" s="209"/>
    </row>
    <row r="108" spans="1:13" s="4" customFormat="1" ht="20.100000000000001" customHeight="1" x14ac:dyDescent="0.3">
      <c r="A108" s="213">
        <f t="shared" si="12"/>
        <v>91</v>
      </c>
      <c r="B108" s="373" t="s">
        <v>337</v>
      </c>
      <c r="C108" s="216" t="s">
        <v>336</v>
      </c>
      <c r="D108" s="213" t="s">
        <v>338</v>
      </c>
      <c r="E108" s="216">
        <f t="shared" si="9"/>
        <v>91</v>
      </c>
      <c r="F108" s="213" t="s">
        <v>12</v>
      </c>
      <c r="G108" s="244">
        <v>1196</v>
      </c>
      <c r="H108" s="214">
        <v>6.7</v>
      </c>
      <c r="I108" s="210">
        <f t="shared" si="11"/>
        <v>8013.2</v>
      </c>
      <c r="J108" s="214"/>
      <c r="L108" s="209"/>
      <c r="M108" s="209"/>
    </row>
    <row r="109" spans="1:13" s="4" customFormat="1" ht="20.100000000000001" customHeight="1" x14ac:dyDescent="0.3">
      <c r="A109" s="213">
        <f t="shared" si="12"/>
        <v>92</v>
      </c>
      <c r="B109" s="378" t="s">
        <v>340</v>
      </c>
      <c r="C109" s="216" t="s">
        <v>339</v>
      </c>
      <c r="D109" s="213" t="s">
        <v>341</v>
      </c>
      <c r="E109" s="216">
        <f t="shared" si="9"/>
        <v>92</v>
      </c>
      <c r="F109" s="213" t="s">
        <v>12</v>
      </c>
      <c r="G109" s="244">
        <v>233</v>
      </c>
      <c r="H109" s="214">
        <v>7.9</v>
      </c>
      <c r="I109" s="210">
        <f t="shared" si="11"/>
        <v>1840.7</v>
      </c>
      <c r="J109" s="214"/>
      <c r="L109" s="209"/>
      <c r="M109" s="209"/>
    </row>
    <row r="110" spans="1:13" s="4" customFormat="1" ht="27" customHeight="1" x14ac:dyDescent="0.3">
      <c r="A110" s="213">
        <f t="shared" si="12"/>
        <v>93</v>
      </c>
      <c r="B110" s="378" t="s">
        <v>1144</v>
      </c>
      <c r="C110" s="216" t="s">
        <v>342</v>
      </c>
      <c r="D110" s="213" t="s">
        <v>344</v>
      </c>
      <c r="E110" s="216">
        <f t="shared" si="9"/>
        <v>93</v>
      </c>
      <c r="F110" s="213" t="s">
        <v>142</v>
      </c>
      <c r="G110" s="244">
        <v>630</v>
      </c>
      <c r="H110" s="214">
        <v>1.35</v>
      </c>
      <c r="I110" s="210">
        <f t="shared" si="11"/>
        <v>850.5</v>
      </c>
      <c r="J110" s="214"/>
      <c r="L110" s="209"/>
      <c r="M110" s="209"/>
    </row>
    <row r="111" spans="1:13" s="4" customFormat="1" ht="20.100000000000001" customHeight="1" x14ac:dyDescent="0.3">
      <c r="A111" s="213">
        <f t="shared" si="12"/>
        <v>94</v>
      </c>
      <c r="B111" s="378" t="s">
        <v>1145</v>
      </c>
      <c r="C111" s="216" t="s">
        <v>345</v>
      </c>
      <c r="D111" s="213" t="s">
        <v>347</v>
      </c>
      <c r="E111" s="216">
        <f t="shared" si="9"/>
        <v>94</v>
      </c>
      <c r="F111" s="213" t="s">
        <v>142</v>
      </c>
      <c r="G111" s="244">
        <v>630</v>
      </c>
      <c r="H111" s="214">
        <v>1.7</v>
      </c>
      <c r="I111" s="210">
        <f t="shared" si="11"/>
        <v>1071</v>
      </c>
      <c r="J111" s="359"/>
      <c r="L111" s="209"/>
      <c r="M111" s="209"/>
    </row>
    <row r="112" spans="1:13" s="4" customFormat="1" ht="20.100000000000001" customHeight="1" thickBot="1" x14ac:dyDescent="0.35">
      <c r="A112" s="213">
        <f t="shared" si="12"/>
        <v>95</v>
      </c>
      <c r="B112" s="373" t="s">
        <v>349</v>
      </c>
      <c r="C112" s="216" t="s">
        <v>348</v>
      </c>
      <c r="D112" s="213" t="s">
        <v>350</v>
      </c>
      <c r="E112" s="216">
        <f t="shared" si="9"/>
        <v>95</v>
      </c>
      <c r="F112" s="213" t="s">
        <v>12</v>
      </c>
      <c r="G112" s="244">
        <v>42.2</v>
      </c>
      <c r="H112" s="214">
        <v>16.170000000000002</v>
      </c>
      <c r="I112" s="210">
        <f t="shared" si="11"/>
        <v>682.37400000000014</v>
      </c>
      <c r="J112" s="214"/>
      <c r="L112" s="209"/>
      <c r="M112" s="209"/>
    </row>
    <row r="113" spans="1:13" s="181" customFormat="1" ht="24.9" customHeight="1" thickBot="1" x14ac:dyDescent="0.3">
      <c r="A113" s="184"/>
      <c r="B113" s="173"/>
      <c r="C113" s="305"/>
      <c r="D113" s="520" t="s">
        <v>1236</v>
      </c>
      <c r="E113" s="521"/>
      <c r="F113" s="517"/>
      <c r="G113" s="517"/>
      <c r="H113" s="518"/>
      <c r="I113" s="337">
        <f>SUM(I89:I112)</f>
        <v>64138.473999999995</v>
      </c>
      <c r="J113" s="357">
        <f>SUM(I89:I112)</f>
        <v>64138.473999999995</v>
      </c>
      <c r="L113" s="180"/>
      <c r="M113" s="180"/>
    </row>
    <row r="114" spans="1:13" s="217" customFormat="1" ht="20.100000000000001" customHeight="1" x14ac:dyDescent="0.25">
      <c r="A114" s="182"/>
      <c r="B114" s="172" t="s">
        <v>1043</v>
      </c>
      <c r="C114" s="308"/>
      <c r="D114" s="183" t="s">
        <v>6</v>
      </c>
      <c r="E114" s="320"/>
      <c r="F114" s="202" t="s">
        <v>6</v>
      </c>
      <c r="G114" s="247"/>
      <c r="H114" s="126"/>
      <c r="I114" s="340"/>
      <c r="J114" s="361"/>
      <c r="K114" s="181"/>
      <c r="L114" s="181"/>
      <c r="M114" s="181"/>
    </row>
    <row r="115" spans="1:13" s="209" customFormat="1" ht="20.100000000000001" customHeight="1" x14ac:dyDescent="0.25">
      <c r="A115" s="213">
        <f>A112+1</f>
        <v>96</v>
      </c>
      <c r="B115" s="373" t="s">
        <v>242</v>
      </c>
      <c r="C115" s="216" t="s">
        <v>241</v>
      </c>
      <c r="D115" s="213" t="s">
        <v>243</v>
      </c>
      <c r="E115" s="216">
        <f>A115</f>
        <v>96</v>
      </c>
      <c r="F115" s="213" t="s">
        <v>16</v>
      </c>
      <c r="G115" s="244">
        <v>6.2</v>
      </c>
      <c r="H115" s="214">
        <v>1177</v>
      </c>
      <c r="I115" s="210">
        <f>G115*H115</f>
        <v>7297.4000000000005</v>
      </c>
      <c r="J115" s="214"/>
    </row>
    <row r="116" spans="1:13" s="209" customFormat="1" ht="20.100000000000001" customHeight="1" x14ac:dyDescent="0.25">
      <c r="A116" s="213">
        <f>A115+1</f>
        <v>97</v>
      </c>
      <c r="B116" s="373" t="s">
        <v>245</v>
      </c>
      <c r="C116" s="216" t="s">
        <v>244</v>
      </c>
      <c r="D116" s="213" t="s">
        <v>246</v>
      </c>
      <c r="E116" s="216">
        <f t="shared" ref="E116:E137" si="13">A116</f>
        <v>97</v>
      </c>
      <c r="F116" s="213" t="s">
        <v>16</v>
      </c>
      <c r="G116" s="244">
        <v>1.1000000000000001</v>
      </c>
      <c r="H116" s="214">
        <v>1062.76</v>
      </c>
      <c r="I116" s="210">
        <f t="shared" ref="I116:I137" si="14">G116*H116</f>
        <v>1169.0360000000001</v>
      </c>
      <c r="J116" s="214"/>
    </row>
    <row r="117" spans="1:13" s="209" customFormat="1" ht="20.100000000000001" customHeight="1" x14ac:dyDescent="0.25">
      <c r="A117" s="213">
        <f t="shared" ref="A117:A137" si="15">A116+1</f>
        <v>98</v>
      </c>
      <c r="B117" s="373" t="s">
        <v>248</v>
      </c>
      <c r="C117" s="216" t="s">
        <v>247</v>
      </c>
      <c r="D117" s="213" t="s">
        <v>246</v>
      </c>
      <c r="E117" s="216">
        <f t="shared" si="13"/>
        <v>98</v>
      </c>
      <c r="F117" s="213" t="s">
        <v>16</v>
      </c>
      <c r="G117" s="244">
        <v>0.4</v>
      </c>
      <c r="H117" s="214">
        <v>1062.76</v>
      </c>
      <c r="I117" s="210">
        <f t="shared" si="14"/>
        <v>425.10400000000004</v>
      </c>
      <c r="J117" s="214"/>
    </row>
    <row r="118" spans="1:13" s="209" customFormat="1" ht="20.100000000000001" customHeight="1" x14ac:dyDescent="0.25">
      <c r="A118" s="213">
        <f t="shared" si="15"/>
        <v>99</v>
      </c>
      <c r="B118" s="373" t="s">
        <v>250</v>
      </c>
      <c r="C118" s="216" t="s">
        <v>249</v>
      </c>
      <c r="D118" s="213" t="s">
        <v>251</v>
      </c>
      <c r="E118" s="216">
        <f t="shared" si="13"/>
        <v>99</v>
      </c>
      <c r="F118" s="213" t="s">
        <v>16</v>
      </c>
      <c r="G118" s="244">
        <v>2.5</v>
      </c>
      <c r="H118" s="214">
        <v>861</v>
      </c>
      <c r="I118" s="210">
        <f t="shared" si="14"/>
        <v>2152.5</v>
      </c>
      <c r="J118" s="214"/>
    </row>
    <row r="119" spans="1:13" s="209" customFormat="1" ht="26.25" customHeight="1" x14ac:dyDescent="0.25">
      <c r="A119" s="213">
        <f t="shared" si="15"/>
        <v>100</v>
      </c>
      <c r="B119" s="373" t="s">
        <v>255</v>
      </c>
      <c r="C119" s="216" t="s">
        <v>254</v>
      </c>
      <c r="D119" s="213" t="s">
        <v>256</v>
      </c>
      <c r="E119" s="216">
        <f t="shared" si="13"/>
        <v>100</v>
      </c>
      <c r="F119" s="213" t="s">
        <v>16</v>
      </c>
      <c r="G119" s="244">
        <v>8.5</v>
      </c>
      <c r="H119" s="214">
        <v>1579.88</v>
      </c>
      <c r="I119" s="210">
        <f t="shared" si="14"/>
        <v>13428.980000000001</v>
      </c>
      <c r="J119" s="214"/>
    </row>
    <row r="120" spans="1:13" s="209" customFormat="1" ht="20.100000000000001" customHeight="1" x14ac:dyDescent="0.25">
      <c r="A120" s="213">
        <f t="shared" si="15"/>
        <v>101</v>
      </c>
      <c r="B120" s="373" t="s">
        <v>260</v>
      </c>
      <c r="C120" s="216" t="s">
        <v>259</v>
      </c>
      <c r="D120" s="213" t="s">
        <v>261</v>
      </c>
      <c r="E120" s="216">
        <f t="shared" si="13"/>
        <v>101</v>
      </c>
      <c r="F120" s="213" t="s">
        <v>16</v>
      </c>
      <c r="G120" s="244">
        <v>2.4</v>
      </c>
      <c r="H120" s="214">
        <v>1044</v>
      </c>
      <c r="I120" s="210">
        <f t="shared" si="14"/>
        <v>2505.6</v>
      </c>
      <c r="J120" s="214"/>
    </row>
    <row r="121" spans="1:13" s="209" customFormat="1" ht="20.100000000000001" customHeight="1" x14ac:dyDescent="0.25">
      <c r="A121" s="213">
        <f t="shared" si="15"/>
        <v>102</v>
      </c>
      <c r="B121" s="373" t="s">
        <v>265</v>
      </c>
      <c r="C121" s="216" t="s">
        <v>264</v>
      </c>
      <c r="D121" s="213" t="s">
        <v>266</v>
      </c>
      <c r="E121" s="216">
        <f t="shared" si="13"/>
        <v>102</v>
      </c>
      <c r="F121" s="213" t="s">
        <v>12</v>
      </c>
      <c r="G121" s="244">
        <v>318.8</v>
      </c>
      <c r="H121" s="214">
        <v>27.38</v>
      </c>
      <c r="I121" s="210">
        <f t="shared" si="14"/>
        <v>8728.7440000000006</v>
      </c>
      <c r="J121" s="214"/>
    </row>
    <row r="122" spans="1:13" s="4" customFormat="1" ht="20.25" customHeight="1" x14ac:dyDescent="0.3">
      <c r="A122" s="213">
        <f t="shared" si="15"/>
        <v>103</v>
      </c>
      <c r="B122" s="373" t="s">
        <v>1024</v>
      </c>
      <c r="C122" s="216" t="s">
        <v>267</v>
      </c>
      <c r="D122" s="213" t="s">
        <v>269</v>
      </c>
      <c r="E122" s="216">
        <f t="shared" si="13"/>
        <v>103</v>
      </c>
      <c r="F122" s="213" t="s">
        <v>12</v>
      </c>
      <c r="G122" s="244">
        <v>265</v>
      </c>
      <c r="H122" s="214">
        <v>44.03</v>
      </c>
      <c r="I122" s="210">
        <f t="shared" si="14"/>
        <v>11667.95</v>
      </c>
      <c r="J122" s="214"/>
      <c r="L122" s="209"/>
      <c r="M122" s="209"/>
    </row>
    <row r="123" spans="1:13" s="4" customFormat="1" ht="20.100000000000001" customHeight="1" x14ac:dyDescent="0.3">
      <c r="A123" s="213">
        <f t="shared" si="15"/>
        <v>104</v>
      </c>
      <c r="B123" s="373" t="s">
        <v>272</v>
      </c>
      <c r="C123" s="216" t="s">
        <v>271</v>
      </c>
      <c r="D123" s="213" t="s">
        <v>273</v>
      </c>
      <c r="E123" s="216">
        <f t="shared" si="13"/>
        <v>104</v>
      </c>
      <c r="F123" s="213" t="s">
        <v>12</v>
      </c>
      <c r="G123" s="244">
        <v>391</v>
      </c>
      <c r="H123" s="214">
        <v>90.93</v>
      </c>
      <c r="I123" s="210">
        <f t="shared" si="14"/>
        <v>35553.630000000005</v>
      </c>
      <c r="J123" s="214"/>
      <c r="L123" s="209"/>
      <c r="M123" s="209"/>
    </row>
    <row r="124" spans="1:13" s="209" customFormat="1" ht="27.75" customHeight="1" x14ac:dyDescent="0.25">
      <c r="A124" s="213">
        <f t="shared" si="15"/>
        <v>105</v>
      </c>
      <c r="B124" s="373" t="s">
        <v>740</v>
      </c>
      <c r="C124" s="216" t="s">
        <v>276</v>
      </c>
      <c r="D124" s="213" t="s">
        <v>278</v>
      </c>
      <c r="E124" s="216">
        <f t="shared" si="13"/>
        <v>105</v>
      </c>
      <c r="F124" s="213" t="s">
        <v>69</v>
      </c>
      <c r="G124" s="244">
        <v>209.2</v>
      </c>
      <c r="H124" s="214">
        <v>7.3</v>
      </c>
      <c r="I124" s="210">
        <f t="shared" si="14"/>
        <v>1527.1599999999999</v>
      </c>
      <c r="J124" s="214"/>
    </row>
    <row r="125" spans="1:13" s="209" customFormat="1" ht="27.75" customHeight="1" x14ac:dyDescent="0.25">
      <c r="A125" s="213">
        <f t="shared" si="15"/>
        <v>106</v>
      </c>
      <c r="B125" s="373" t="s">
        <v>741</v>
      </c>
      <c r="C125" s="216" t="s">
        <v>279</v>
      </c>
      <c r="D125" s="213" t="s">
        <v>281</v>
      </c>
      <c r="E125" s="216">
        <f t="shared" si="13"/>
        <v>106</v>
      </c>
      <c r="F125" s="213" t="s">
        <v>69</v>
      </c>
      <c r="G125" s="244">
        <v>280</v>
      </c>
      <c r="H125" s="214">
        <v>15.37</v>
      </c>
      <c r="I125" s="210">
        <f t="shared" si="14"/>
        <v>4303.5999999999995</v>
      </c>
      <c r="J125" s="214"/>
    </row>
    <row r="126" spans="1:13" s="209" customFormat="1" ht="37.5" customHeight="1" x14ac:dyDescent="0.25">
      <c r="A126" s="213">
        <f t="shared" si="15"/>
        <v>107</v>
      </c>
      <c r="B126" s="373" t="s">
        <v>363</v>
      </c>
      <c r="C126" s="216" t="s">
        <v>362</v>
      </c>
      <c r="D126" s="213" t="s">
        <v>364</v>
      </c>
      <c r="E126" s="216">
        <f t="shared" si="13"/>
        <v>107</v>
      </c>
      <c r="F126" s="213" t="s">
        <v>12</v>
      </c>
      <c r="G126" s="244">
        <v>39.299999999999997</v>
      </c>
      <c r="H126" s="214">
        <v>413.9</v>
      </c>
      <c r="I126" s="210">
        <f t="shared" si="14"/>
        <v>16266.269999999999</v>
      </c>
      <c r="J126" s="214"/>
    </row>
    <row r="127" spans="1:13" s="209" customFormat="1" ht="38.25" customHeight="1" x14ac:dyDescent="0.25">
      <c r="A127" s="213">
        <f t="shared" si="15"/>
        <v>108</v>
      </c>
      <c r="B127" s="373" t="s">
        <v>1025</v>
      </c>
      <c r="C127" s="216" t="s">
        <v>365</v>
      </c>
      <c r="D127" s="213" t="s">
        <v>367</v>
      </c>
      <c r="E127" s="216">
        <f t="shared" si="13"/>
        <v>108</v>
      </c>
      <c r="F127" s="213" t="s">
        <v>12</v>
      </c>
      <c r="G127" s="244">
        <v>9.5</v>
      </c>
      <c r="H127" s="214">
        <v>487.4</v>
      </c>
      <c r="I127" s="210">
        <f t="shared" si="14"/>
        <v>4630.3</v>
      </c>
      <c r="J127" s="214"/>
    </row>
    <row r="128" spans="1:13" s="209" customFormat="1" ht="27.75" customHeight="1" x14ac:dyDescent="0.25">
      <c r="A128" s="213">
        <f t="shared" si="15"/>
        <v>109</v>
      </c>
      <c r="B128" s="373" t="s">
        <v>372</v>
      </c>
      <c r="C128" s="216" t="s">
        <v>371</v>
      </c>
      <c r="D128" s="213" t="s">
        <v>373</v>
      </c>
      <c r="E128" s="216">
        <f t="shared" si="13"/>
        <v>109</v>
      </c>
      <c r="F128" s="213" t="s">
        <v>12</v>
      </c>
      <c r="G128" s="244">
        <v>72.8</v>
      </c>
      <c r="H128" s="214">
        <v>392.8</v>
      </c>
      <c r="I128" s="210">
        <f t="shared" si="14"/>
        <v>28595.84</v>
      </c>
      <c r="J128" s="214"/>
    </row>
    <row r="129" spans="1:13" s="4" customFormat="1" ht="20.100000000000001" customHeight="1" x14ac:dyDescent="0.3">
      <c r="A129" s="213">
        <f t="shared" si="15"/>
        <v>110</v>
      </c>
      <c r="B129" s="373" t="s">
        <v>742</v>
      </c>
      <c r="C129" s="216" t="s">
        <v>283</v>
      </c>
      <c r="D129" s="213" t="s">
        <v>285</v>
      </c>
      <c r="E129" s="216">
        <f t="shared" si="13"/>
        <v>110</v>
      </c>
      <c r="F129" s="213" t="s">
        <v>56</v>
      </c>
      <c r="G129" s="244">
        <v>4.8499999999999996</v>
      </c>
      <c r="H129" s="214">
        <v>112</v>
      </c>
      <c r="I129" s="210">
        <f t="shared" si="14"/>
        <v>543.19999999999993</v>
      </c>
      <c r="J129" s="214"/>
    </row>
    <row r="130" spans="1:13" s="4" customFormat="1" ht="27.75" customHeight="1" x14ac:dyDescent="0.3">
      <c r="A130" s="213">
        <f t="shared" si="15"/>
        <v>111</v>
      </c>
      <c r="B130" s="373" t="s">
        <v>743</v>
      </c>
      <c r="C130" s="216" t="s">
        <v>288</v>
      </c>
      <c r="D130" s="213" t="s">
        <v>289</v>
      </c>
      <c r="E130" s="216">
        <f t="shared" si="13"/>
        <v>111</v>
      </c>
      <c r="F130" s="213" t="s">
        <v>56</v>
      </c>
      <c r="G130" s="244">
        <v>4.8499999999999996</v>
      </c>
      <c r="H130" s="214">
        <v>67.5</v>
      </c>
      <c r="I130" s="210">
        <f t="shared" si="14"/>
        <v>327.375</v>
      </c>
      <c r="J130" s="359"/>
    </row>
    <row r="131" spans="1:13" s="4" customFormat="1" ht="27.75" customHeight="1" x14ac:dyDescent="0.3">
      <c r="A131" s="213">
        <f t="shared" si="15"/>
        <v>112</v>
      </c>
      <c r="B131" s="373" t="s">
        <v>744</v>
      </c>
      <c r="C131" s="216" t="s">
        <v>292</v>
      </c>
      <c r="D131" s="213" t="s">
        <v>293</v>
      </c>
      <c r="E131" s="216">
        <f t="shared" si="13"/>
        <v>112</v>
      </c>
      <c r="F131" s="213" t="s">
        <v>56</v>
      </c>
      <c r="G131" s="244">
        <v>4.8499999999999996</v>
      </c>
      <c r="H131" s="214">
        <v>45</v>
      </c>
      <c r="I131" s="210">
        <f t="shared" si="14"/>
        <v>218.24999999999997</v>
      </c>
      <c r="J131" s="214"/>
    </row>
    <row r="132" spans="1:13" s="4" customFormat="1" ht="24" customHeight="1" x14ac:dyDescent="0.3">
      <c r="A132" s="213">
        <f t="shared" si="15"/>
        <v>113</v>
      </c>
      <c r="B132" s="373" t="s">
        <v>296</v>
      </c>
      <c r="C132" s="216" t="s">
        <v>295</v>
      </c>
      <c r="D132" s="213" t="s">
        <v>297</v>
      </c>
      <c r="E132" s="216">
        <f t="shared" si="13"/>
        <v>113</v>
      </c>
      <c r="F132" s="213" t="s">
        <v>142</v>
      </c>
      <c r="G132" s="244">
        <v>10700</v>
      </c>
      <c r="H132" s="214">
        <v>2.7</v>
      </c>
      <c r="I132" s="210">
        <f t="shared" si="14"/>
        <v>28890.000000000004</v>
      </c>
      <c r="J132" s="214"/>
    </row>
    <row r="133" spans="1:13" s="4" customFormat="1" ht="20.100000000000001" customHeight="1" x14ac:dyDescent="0.3">
      <c r="A133" s="213">
        <f t="shared" si="15"/>
        <v>114</v>
      </c>
      <c r="B133" s="373" t="s">
        <v>299</v>
      </c>
      <c r="C133" s="216" t="s">
        <v>298</v>
      </c>
      <c r="D133" s="213" t="s">
        <v>300</v>
      </c>
      <c r="E133" s="216">
        <f t="shared" si="13"/>
        <v>114</v>
      </c>
      <c r="F133" s="213" t="s">
        <v>56</v>
      </c>
      <c r="G133" s="244">
        <v>7.2</v>
      </c>
      <c r="H133" s="214">
        <v>3.9</v>
      </c>
      <c r="I133" s="210">
        <f t="shared" si="14"/>
        <v>28.08</v>
      </c>
      <c r="J133" s="359"/>
    </row>
    <row r="134" spans="1:13" s="4" customFormat="1" ht="20.100000000000001" customHeight="1" x14ac:dyDescent="0.3">
      <c r="A134" s="213">
        <f t="shared" si="15"/>
        <v>115</v>
      </c>
      <c r="B134" s="373" t="s">
        <v>1026</v>
      </c>
      <c r="C134" s="216" t="s">
        <v>301</v>
      </c>
      <c r="D134" s="213" t="s">
        <v>303</v>
      </c>
      <c r="E134" s="216">
        <f t="shared" si="13"/>
        <v>115</v>
      </c>
      <c r="F134" s="213" t="s">
        <v>56</v>
      </c>
      <c r="G134" s="244">
        <v>87.3</v>
      </c>
      <c r="H134" s="214">
        <v>2.6</v>
      </c>
      <c r="I134" s="210">
        <f t="shared" si="14"/>
        <v>226.98</v>
      </c>
      <c r="J134" s="214"/>
    </row>
    <row r="135" spans="1:13" s="4" customFormat="1" ht="20.100000000000001" customHeight="1" x14ac:dyDescent="0.3">
      <c r="A135" s="213">
        <f t="shared" si="15"/>
        <v>116</v>
      </c>
      <c r="B135" s="373" t="s">
        <v>1076</v>
      </c>
      <c r="C135" s="216" t="s">
        <v>1077</v>
      </c>
      <c r="D135" s="213" t="s">
        <v>1078</v>
      </c>
      <c r="E135" s="216">
        <f t="shared" si="13"/>
        <v>116</v>
      </c>
      <c r="F135" s="213" t="s">
        <v>142</v>
      </c>
      <c r="G135" s="244">
        <f>60*5</f>
        <v>300</v>
      </c>
      <c r="H135" s="214">
        <v>2.8</v>
      </c>
      <c r="I135" s="210">
        <f t="shared" si="14"/>
        <v>840</v>
      </c>
      <c r="J135" s="214"/>
    </row>
    <row r="136" spans="1:13" s="4" customFormat="1" ht="28.5" customHeight="1" x14ac:dyDescent="0.3">
      <c r="A136" s="213">
        <f t="shared" si="15"/>
        <v>117</v>
      </c>
      <c r="B136" s="373" t="s">
        <v>306</v>
      </c>
      <c r="C136" s="216" t="s">
        <v>305</v>
      </c>
      <c r="D136" s="213" t="s">
        <v>307</v>
      </c>
      <c r="E136" s="216">
        <f t="shared" si="13"/>
        <v>117</v>
      </c>
      <c r="F136" s="213" t="s">
        <v>12</v>
      </c>
      <c r="G136" s="244">
        <v>20.7</v>
      </c>
      <c r="H136" s="214">
        <v>280</v>
      </c>
      <c r="I136" s="210">
        <f t="shared" si="14"/>
        <v>5796</v>
      </c>
      <c r="J136" s="214"/>
    </row>
    <row r="137" spans="1:13" s="209" customFormat="1" ht="20.100000000000001" customHeight="1" thickBot="1" x14ac:dyDescent="0.3">
      <c r="A137" s="213">
        <f t="shared" si="15"/>
        <v>118</v>
      </c>
      <c r="B137" s="373" t="s">
        <v>745</v>
      </c>
      <c r="C137" s="216" t="s">
        <v>309</v>
      </c>
      <c r="D137" s="213" t="s">
        <v>311</v>
      </c>
      <c r="E137" s="216">
        <f t="shared" si="13"/>
        <v>118</v>
      </c>
      <c r="F137" s="213" t="s">
        <v>142</v>
      </c>
      <c r="G137" s="244">
        <v>437.8</v>
      </c>
      <c r="H137" s="214">
        <v>5.3</v>
      </c>
      <c r="I137" s="210">
        <f t="shared" si="14"/>
        <v>2320.34</v>
      </c>
      <c r="J137" s="214"/>
    </row>
    <row r="138" spans="1:13" s="181" customFormat="1" ht="24.9" customHeight="1" thickBot="1" x14ac:dyDescent="0.3">
      <c r="A138" s="475"/>
      <c r="B138" s="173"/>
      <c r="C138" s="305"/>
      <c r="D138" s="520" t="s">
        <v>1237</v>
      </c>
      <c r="E138" s="521"/>
      <c r="F138" s="517"/>
      <c r="G138" s="517"/>
      <c r="H138" s="518"/>
      <c r="I138" s="337">
        <f>SUM(I115:I137)</f>
        <v>177442.33900000004</v>
      </c>
      <c r="J138" s="476">
        <f>SUM(I115:I137)</f>
        <v>177442.33900000004</v>
      </c>
      <c r="L138" s="180"/>
      <c r="M138" s="180"/>
    </row>
    <row r="139" spans="1:13" s="181" customFormat="1" ht="20.100000000000001" customHeight="1" x14ac:dyDescent="0.25">
      <c r="A139" s="179"/>
      <c r="B139" s="172" t="s">
        <v>1044</v>
      </c>
      <c r="C139" s="169"/>
      <c r="D139" s="170" t="s">
        <v>6</v>
      </c>
      <c r="E139" s="307"/>
      <c r="F139" s="170" t="s">
        <v>6</v>
      </c>
      <c r="G139" s="243"/>
      <c r="H139" s="107"/>
      <c r="I139" s="338"/>
      <c r="J139" s="361"/>
    </row>
    <row r="140" spans="1:13" s="4" customFormat="1" ht="20.100000000000001" customHeight="1" x14ac:dyDescent="0.3">
      <c r="A140" s="213">
        <f>A137+1</f>
        <v>119</v>
      </c>
      <c r="B140" s="378" t="s">
        <v>1095</v>
      </c>
      <c r="C140" s="216" t="s">
        <v>1225</v>
      </c>
      <c r="D140" s="421" t="s">
        <v>297</v>
      </c>
      <c r="E140" s="216">
        <f>A140</f>
        <v>119</v>
      </c>
      <c r="F140" s="213" t="s">
        <v>101</v>
      </c>
      <c r="G140" s="214">
        <v>1</v>
      </c>
      <c r="H140" s="214">
        <v>2500</v>
      </c>
      <c r="I140" s="210">
        <f>G140*H140</f>
        <v>2500</v>
      </c>
      <c r="J140" s="214"/>
      <c r="L140" s="209"/>
      <c r="M140" s="209"/>
    </row>
    <row r="141" spans="1:13" s="4" customFormat="1" ht="20.100000000000001" customHeight="1" x14ac:dyDescent="0.3">
      <c r="A141" s="213">
        <f>A140+1</f>
        <v>120</v>
      </c>
      <c r="B141" s="373" t="s">
        <v>354</v>
      </c>
      <c r="C141" s="216" t="s">
        <v>353</v>
      </c>
      <c r="D141" s="213" t="s">
        <v>355</v>
      </c>
      <c r="E141" s="216">
        <f t="shared" ref="E141:E143" si="16">A141</f>
        <v>120</v>
      </c>
      <c r="F141" s="213" t="s">
        <v>101</v>
      </c>
      <c r="G141" s="214">
        <v>4</v>
      </c>
      <c r="H141" s="214">
        <v>121.5</v>
      </c>
      <c r="I141" s="210">
        <f>G141*H141</f>
        <v>486</v>
      </c>
      <c r="J141" s="359"/>
      <c r="L141" s="209"/>
      <c r="M141" s="209"/>
    </row>
    <row r="142" spans="1:13" s="4" customFormat="1" ht="20.100000000000001" customHeight="1" x14ac:dyDescent="0.3">
      <c r="A142" s="213">
        <f t="shared" ref="A142:A143" si="17">A141+1</f>
        <v>121</v>
      </c>
      <c r="B142" s="373" t="s">
        <v>357</v>
      </c>
      <c r="C142" s="216" t="s">
        <v>356</v>
      </c>
      <c r="D142" s="213" t="s">
        <v>358</v>
      </c>
      <c r="E142" s="216">
        <f t="shared" si="16"/>
        <v>121</v>
      </c>
      <c r="F142" s="281" t="s">
        <v>69</v>
      </c>
      <c r="G142" s="244">
        <v>57.1</v>
      </c>
      <c r="H142" s="214">
        <v>72.14</v>
      </c>
      <c r="I142" s="210">
        <f t="shared" ref="I142:I143" si="18">G142*H142</f>
        <v>4119.1940000000004</v>
      </c>
      <c r="J142" s="359"/>
      <c r="L142" s="209"/>
      <c r="M142" s="209"/>
    </row>
    <row r="143" spans="1:13" s="4" customFormat="1" ht="20.100000000000001" customHeight="1" thickBot="1" x14ac:dyDescent="0.35">
      <c r="A143" s="213">
        <f t="shared" si="17"/>
        <v>122</v>
      </c>
      <c r="B143" s="373" t="s">
        <v>360</v>
      </c>
      <c r="C143" s="216" t="s">
        <v>359</v>
      </c>
      <c r="D143" s="213" t="s">
        <v>361</v>
      </c>
      <c r="E143" s="216">
        <f t="shared" si="16"/>
        <v>122</v>
      </c>
      <c r="F143" s="281" t="s">
        <v>69</v>
      </c>
      <c r="G143" s="244">
        <v>34.06</v>
      </c>
      <c r="H143" s="214">
        <v>72.14</v>
      </c>
      <c r="I143" s="210">
        <f t="shared" si="18"/>
        <v>2457.0884000000001</v>
      </c>
      <c r="J143" s="214"/>
      <c r="L143" s="209"/>
      <c r="M143" s="209"/>
    </row>
    <row r="144" spans="1:13" s="181" customFormat="1" ht="24.9" customHeight="1" thickBot="1" x14ac:dyDescent="0.3">
      <c r="A144" s="184"/>
      <c r="B144" s="173"/>
      <c r="C144" s="305"/>
      <c r="D144" s="520" t="s">
        <v>1238</v>
      </c>
      <c r="E144" s="521"/>
      <c r="F144" s="517"/>
      <c r="G144" s="517"/>
      <c r="H144" s="518"/>
      <c r="I144" s="337">
        <f>SUM(I140:I143)</f>
        <v>9562.2824000000001</v>
      </c>
      <c r="J144" s="357">
        <f>SUM(I140:I143)</f>
        <v>9562.2824000000001</v>
      </c>
      <c r="L144" s="180"/>
      <c r="M144" s="180"/>
    </row>
    <row r="145" spans="1:13" s="180" customFormat="1" ht="36.9" customHeight="1" thickBot="1" x14ac:dyDescent="0.3">
      <c r="A145" s="492"/>
      <c r="B145" s="493"/>
      <c r="C145" s="494"/>
      <c r="D145" s="533" t="s">
        <v>1256</v>
      </c>
      <c r="E145" s="533"/>
      <c r="F145" s="534"/>
      <c r="G145" s="534"/>
      <c r="H145" s="534"/>
      <c r="I145" s="535"/>
      <c r="J145" s="495">
        <f>J59+J72+J87+J113+J138+J144</f>
        <v>968354.80999999982</v>
      </c>
      <c r="K145" s="180">
        <v>937866.47690000024</v>
      </c>
    </row>
    <row r="146" spans="1:13" s="181" customFormat="1" ht="20.100000000000001" customHeight="1" x14ac:dyDescent="0.25">
      <c r="A146" s="484"/>
      <c r="B146" s="485" t="s">
        <v>453</v>
      </c>
      <c r="C146" s="486"/>
      <c r="D146" s="487" t="s">
        <v>6</v>
      </c>
      <c r="E146" s="488"/>
      <c r="F146" s="487" t="s">
        <v>6</v>
      </c>
      <c r="G146" s="489"/>
      <c r="H146" s="489"/>
      <c r="I146" s="490"/>
      <c r="J146" s="491"/>
      <c r="L146" s="180"/>
      <c r="M146" s="180"/>
    </row>
    <row r="147" spans="1:13" s="181" customFormat="1" ht="20.100000000000001" customHeight="1" x14ac:dyDescent="0.25">
      <c r="A147" s="206"/>
      <c r="B147" s="262" t="s">
        <v>1228</v>
      </c>
      <c r="C147" s="309"/>
      <c r="D147" s="264"/>
      <c r="E147" s="291"/>
      <c r="F147" s="264"/>
      <c r="G147" s="265"/>
      <c r="H147" s="265"/>
      <c r="I147" s="341"/>
      <c r="J147" s="362"/>
      <c r="L147" s="180"/>
      <c r="M147" s="180"/>
    </row>
    <row r="148" spans="1:13" s="181" customFormat="1" ht="20.100000000000001" customHeight="1" x14ac:dyDescent="0.25">
      <c r="A148" s="206">
        <v>123</v>
      </c>
      <c r="B148" s="266" t="s">
        <v>475</v>
      </c>
      <c r="C148" s="207" t="s">
        <v>771</v>
      </c>
      <c r="D148" s="219"/>
      <c r="E148" s="291">
        <v>125</v>
      </c>
      <c r="F148" s="264" t="s">
        <v>16</v>
      </c>
      <c r="G148" s="265">
        <v>14.4</v>
      </c>
      <c r="H148" s="402">
        <v>22.97</v>
      </c>
      <c r="I148" s="341">
        <f>G148*H148</f>
        <v>330.76799999999997</v>
      </c>
      <c r="J148" s="362"/>
      <c r="L148" s="180"/>
      <c r="M148" s="180"/>
    </row>
    <row r="149" spans="1:13" s="181" customFormat="1" ht="20.100000000000001" customHeight="1" x14ac:dyDescent="0.25">
      <c r="A149" s="206">
        <f>A148+1</f>
        <v>124</v>
      </c>
      <c r="B149" s="266" t="s">
        <v>476</v>
      </c>
      <c r="C149" s="291" t="s">
        <v>772</v>
      </c>
      <c r="D149" s="264"/>
      <c r="E149" s="291">
        <v>126</v>
      </c>
      <c r="F149" s="264" t="s">
        <v>101</v>
      </c>
      <c r="G149" s="265">
        <v>4</v>
      </c>
      <c r="H149" s="330">
        <v>174.54</v>
      </c>
      <c r="I149" s="341">
        <f t="shared" ref="I149:I187" si="19">G149*H149</f>
        <v>698.16</v>
      </c>
      <c r="J149" s="362"/>
      <c r="L149" s="180"/>
      <c r="M149" s="180"/>
    </row>
    <row r="150" spans="1:13" s="181" customFormat="1" ht="20.100000000000001" customHeight="1" x14ac:dyDescent="0.25">
      <c r="A150" s="206">
        <f t="shared" ref="A150:A187" si="20">A149+1</f>
        <v>125</v>
      </c>
      <c r="B150" s="266" t="s">
        <v>477</v>
      </c>
      <c r="C150" s="291" t="s">
        <v>773</v>
      </c>
      <c r="D150" s="264"/>
      <c r="E150" s="291">
        <v>127</v>
      </c>
      <c r="F150" s="264" t="s">
        <v>101</v>
      </c>
      <c r="G150" s="265">
        <v>1</v>
      </c>
      <c r="H150" s="330">
        <v>646.02</v>
      </c>
      <c r="I150" s="341">
        <f t="shared" si="19"/>
        <v>646.02</v>
      </c>
      <c r="J150" s="362"/>
      <c r="L150" s="180"/>
      <c r="M150" s="180"/>
    </row>
    <row r="151" spans="1:13" s="181" customFormat="1" ht="20.100000000000001" customHeight="1" x14ac:dyDescent="0.25">
      <c r="A151" s="206">
        <f t="shared" si="20"/>
        <v>126</v>
      </c>
      <c r="B151" s="266" t="s">
        <v>478</v>
      </c>
      <c r="C151" s="291" t="s">
        <v>801</v>
      </c>
      <c r="D151" s="264" t="s">
        <v>899</v>
      </c>
      <c r="E151" s="291">
        <v>128</v>
      </c>
      <c r="F151" s="264" t="s">
        <v>514</v>
      </c>
      <c r="G151" s="265">
        <v>250</v>
      </c>
      <c r="H151" s="403">
        <v>1.99</v>
      </c>
      <c r="I151" s="341">
        <f t="shared" si="19"/>
        <v>497.5</v>
      </c>
      <c r="J151" s="362"/>
      <c r="L151" s="180"/>
      <c r="M151" s="180"/>
    </row>
    <row r="152" spans="1:13" s="181" customFormat="1" ht="20.100000000000001" customHeight="1" x14ac:dyDescent="0.25">
      <c r="A152" s="206">
        <f t="shared" si="20"/>
        <v>127</v>
      </c>
      <c r="B152" s="266" t="s">
        <v>479</v>
      </c>
      <c r="C152" s="296" t="s">
        <v>1149</v>
      </c>
      <c r="D152" s="219" t="s">
        <v>774</v>
      </c>
      <c r="E152" s="291">
        <v>129</v>
      </c>
      <c r="F152" s="264" t="s">
        <v>16</v>
      </c>
      <c r="G152" s="265">
        <v>9.6</v>
      </c>
      <c r="H152" s="330">
        <v>8.5500000000000007</v>
      </c>
      <c r="I152" s="341">
        <f t="shared" si="19"/>
        <v>82.08</v>
      </c>
      <c r="J152" s="362"/>
      <c r="L152" s="180"/>
      <c r="M152" s="180"/>
    </row>
    <row r="153" spans="1:13" s="181" customFormat="1" ht="20.100000000000001" customHeight="1" x14ac:dyDescent="0.25">
      <c r="A153" s="206">
        <f t="shared" si="20"/>
        <v>128</v>
      </c>
      <c r="B153" s="266" t="s">
        <v>480</v>
      </c>
      <c r="C153" s="275" t="s">
        <v>775</v>
      </c>
      <c r="D153" s="206" t="s">
        <v>805</v>
      </c>
      <c r="E153" s="291">
        <v>130</v>
      </c>
      <c r="F153" s="264" t="s">
        <v>465</v>
      </c>
      <c r="G153" s="265">
        <v>25</v>
      </c>
      <c r="H153" s="330">
        <v>36.15</v>
      </c>
      <c r="I153" s="341">
        <f t="shared" si="19"/>
        <v>903.75</v>
      </c>
      <c r="J153" s="362"/>
      <c r="L153" s="180"/>
      <c r="M153" s="180"/>
    </row>
    <row r="154" spans="1:13" s="181" customFormat="1" ht="20.100000000000001" customHeight="1" x14ac:dyDescent="0.25">
      <c r="A154" s="206">
        <f t="shared" si="20"/>
        <v>129</v>
      </c>
      <c r="B154" s="266" t="s">
        <v>481</v>
      </c>
      <c r="C154" s="275" t="s">
        <v>776</v>
      </c>
      <c r="D154" s="206" t="s">
        <v>805</v>
      </c>
      <c r="E154" s="291">
        <v>131</v>
      </c>
      <c r="F154" s="264" t="s">
        <v>465</v>
      </c>
      <c r="G154" s="265">
        <v>35</v>
      </c>
      <c r="H154" s="330">
        <v>27.09</v>
      </c>
      <c r="I154" s="341">
        <f t="shared" si="19"/>
        <v>948.15</v>
      </c>
      <c r="J154" s="362"/>
      <c r="L154" s="180"/>
      <c r="M154" s="180"/>
    </row>
    <row r="155" spans="1:13" s="181" customFormat="1" ht="20.100000000000001" customHeight="1" x14ac:dyDescent="0.25">
      <c r="A155" s="206">
        <f t="shared" si="20"/>
        <v>130</v>
      </c>
      <c r="B155" s="266" t="s">
        <v>482</v>
      </c>
      <c r="C155" s="275" t="s">
        <v>777</v>
      </c>
      <c r="D155" s="206" t="s">
        <v>805</v>
      </c>
      <c r="E155" s="291">
        <v>132</v>
      </c>
      <c r="F155" s="264" t="s">
        <v>465</v>
      </c>
      <c r="G155" s="265">
        <v>10</v>
      </c>
      <c r="H155" s="403">
        <v>23.78</v>
      </c>
      <c r="I155" s="341">
        <f t="shared" si="19"/>
        <v>237.8</v>
      </c>
      <c r="J155" s="362"/>
      <c r="L155" s="180"/>
      <c r="M155" s="180"/>
    </row>
    <row r="156" spans="1:13" s="181" customFormat="1" ht="20.100000000000001" customHeight="1" x14ac:dyDescent="0.25">
      <c r="A156" s="206">
        <f t="shared" si="20"/>
        <v>131</v>
      </c>
      <c r="B156" s="266" t="s">
        <v>483</v>
      </c>
      <c r="C156" s="275" t="s">
        <v>778</v>
      </c>
      <c r="D156" s="206" t="s">
        <v>805</v>
      </c>
      <c r="E156" s="291">
        <v>133</v>
      </c>
      <c r="F156" s="264" t="s">
        <v>465</v>
      </c>
      <c r="G156" s="265">
        <v>30</v>
      </c>
      <c r="H156" s="403">
        <v>19.350000000000001</v>
      </c>
      <c r="I156" s="341">
        <f t="shared" si="19"/>
        <v>580.5</v>
      </c>
      <c r="J156" s="362"/>
      <c r="L156" s="180"/>
      <c r="M156" s="180"/>
    </row>
    <row r="157" spans="1:13" s="181" customFormat="1" ht="20.100000000000001" customHeight="1" x14ac:dyDescent="0.25">
      <c r="A157" s="206">
        <f t="shared" si="20"/>
        <v>132</v>
      </c>
      <c r="B157" s="266" t="s">
        <v>484</v>
      </c>
      <c r="C157" s="275" t="s">
        <v>779</v>
      </c>
      <c r="D157" s="206" t="s">
        <v>805</v>
      </c>
      <c r="E157" s="291">
        <v>134</v>
      </c>
      <c r="F157" s="264" t="s">
        <v>465</v>
      </c>
      <c r="G157" s="265">
        <v>35</v>
      </c>
      <c r="H157" s="403">
        <v>14.02</v>
      </c>
      <c r="I157" s="341">
        <f t="shared" si="19"/>
        <v>490.7</v>
      </c>
      <c r="J157" s="362"/>
      <c r="L157" s="180"/>
      <c r="M157" s="180"/>
    </row>
    <row r="158" spans="1:13" s="181" customFormat="1" ht="20.100000000000001" customHeight="1" x14ac:dyDescent="0.25">
      <c r="A158" s="206">
        <f t="shared" si="20"/>
        <v>133</v>
      </c>
      <c r="B158" s="266" t="s">
        <v>485</v>
      </c>
      <c r="C158" s="275" t="s">
        <v>780</v>
      </c>
      <c r="D158" s="206" t="s">
        <v>805</v>
      </c>
      <c r="E158" s="291">
        <v>135</v>
      </c>
      <c r="F158" s="264" t="s">
        <v>465</v>
      </c>
      <c r="G158" s="265">
        <v>15</v>
      </c>
      <c r="H158" s="403">
        <v>13.74</v>
      </c>
      <c r="I158" s="341">
        <f t="shared" si="19"/>
        <v>206.1</v>
      </c>
      <c r="J158" s="362"/>
      <c r="L158" s="180"/>
      <c r="M158" s="180"/>
    </row>
    <row r="159" spans="1:13" s="181" customFormat="1" ht="20.100000000000001" customHeight="1" x14ac:dyDescent="0.25">
      <c r="A159" s="206">
        <f t="shared" si="20"/>
        <v>134</v>
      </c>
      <c r="B159" s="266" t="s">
        <v>486</v>
      </c>
      <c r="C159" s="310" t="s">
        <v>781</v>
      </c>
      <c r="D159" s="206" t="s">
        <v>805</v>
      </c>
      <c r="E159" s="291">
        <v>136</v>
      </c>
      <c r="F159" s="264" t="s">
        <v>101</v>
      </c>
      <c r="G159" s="265">
        <v>1</v>
      </c>
      <c r="H159" s="403">
        <v>11.77</v>
      </c>
      <c r="I159" s="341">
        <f t="shared" si="19"/>
        <v>11.77</v>
      </c>
      <c r="J159" s="362"/>
      <c r="L159" s="180"/>
      <c r="M159" s="180"/>
    </row>
    <row r="160" spans="1:13" s="181" customFormat="1" ht="20.100000000000001" customHeight="1" x14ac:dyDescent="0.25">
      <c r="A160" s="206">
        <f t="shared" si="20"/>
        <v>135</v>
      </c>
      <c r="B160" s="266" t="s">
        <v>487</v>
      </c>
      <c r="C160" s="289" t="s">
        <v>782</v>
      </c>
      <c r="D160" s="206" t="s">
        <v>805</v>
      </c>
      <c r="E160" s="291">
        <v>137</v>
      </c>
      <c r="F160" s="264" t="s">
        <v>101</v>
      </c>
      <c r="G160" s="265">
        <v>1</v>
      </c>
      <c r="H160" s="403">
        <v>200.27</v>
      </c>
      <c r="I160" s="341">
        <f t="shared" si="19"/>
        <v>200.27</v>
      </c>
      <c r="J160" s="362"/>
      <c r="L160" s="180"/>
      <c r="M160" s="180"/>
    </row>
    <row r="161" spans="1:13" s="181" customFormat="1" ht="20.100000000000001" customHeight="1" x14ac:dyDescent="0.25">
      <c r="A161" s="206">
        <f t="shared" si="20"/>
        <v>136</v>
      </c>
      <c r="B161" s="266" t="s">
        <v>488</v>
      </c>
      <c r="C161" s="275" t="s">
        <v>783</v>
      </c>
      <c r="D161" s="206"/>
      <c r="E161" s="291">
        <v>138</v>
      </c>
      <c r="F161" s="264" t="s">
        <v>101</v>
      </c>
      <c r="G161" s="265">
        <v>4</v>
      </c>
      <c r="H161" s="403">
        <v>262.10000000000002</v>
      </c>
      <c r="I161" s="341">
        <f t="shared" si="19"/>
        <v>1048.4000000000001</v>
      </c>
      <c r="J161" s="362"/>
      <c r="L161" s="180"/>
      <c r="M161" s="180"/>
    </row>
    <row r="162" spans="1:13" s="181" customFormat="1" ht="20.100000000000001" customHeight="1" x14ac:dyDescent="0.25">
      <c r="A162" s="206">
        <f t="shared" si="20"/>
        <v>137</v>
      </c>
      <c r="B162" s="266" t="s">
        <v>489</v>
      </c>
      <c r="C162" s="275" t="s">
        <v>878</v>
      </c>
      <c r="D162" s="206"/>
      <c r="E162" s="291">
        <v>139</v>
      </c>
      <c r="F162" s="264" t="s">
        <v>101</v>
      </c>
      <c r="G162" s="265">
        <v>1</v>
      </c>
      <c r="H162" s="403">
        <v>563.1</v>
      </c>
      <c r="I162" s="341">
        <f t="shared" si="19"/>
        <v>563.1</v>
      </c>
      <c r="J162" s="362"/>
      <c r="L162" s="180"/>
      <c r="M162" s="180"/>
    </row>
    <row r="163" spans="1:13" s="181" customFormat="1" ht="27.75" customHeight="1" x14ac:dyDescent="0.25">
      <c r="A163" s="206">
        <f t="shared" si="20"/>
        <v>138</v>
      </c>
      <c r="B163" s="266" t="s">
        <v>490</v>
      </c>
      <c r="C163" s="207" t="s">
        <v>879</v>
      </c>
      <c r="D163" s="219"/>
      <c r="E163" s="291">
        <v>140</v>
      </c>
      <c r="F163" s="264" t="s">
        <v>101</v>
      </c>
      <c r="G163" s="265">
        <v>1</v>
      </c>
      <c r="H163" s="403">
        <v>279.18</v>
      </c>
      <c r="I163" s="341">
        <f t="shared" si="19"/>
        <v>279.18</v>
      </c>
      <c r="J163" s="362"/>
      <c r="L163" s="180"/>
      <c r="M163" s="180"/>
    </row>
    <row r="164" spans="1:13" s="181" customFormat="1" ht="20.100000000000001" customHeight="1" x14ac:dyDescent="0.25">
      <c r="A164" s="206">
        <f t="shared" si="20"/>
        <v>139</v>
      </c>
      <c r="B164" s="266" t="s">
        <v>491</v>
      </c>
      <c r="C164" s="291" t="s">
        <v>880</v>
      </c>
      <c r="D164" s="219"/>
      <c r="E164" s="291">
        <v>141</v>
      </c>
      <c r="F164" s="264" t="s">
        <v>101</v>
      </c>
      <c r="G164" s="265">
        <v>1</v>
      </c>
      <c r="H164" s="403">
        <v>148.97</v>
      </c>
      <c r="I164" s="341">
        <f t="shared" si="19"/>
        <v>148.97</v>
      </c>
      <c r="J164" s="362"/>
      <c r="L164" s="180"/>
      <c r="M164" s="180"/>
    </row>
    <row r="165" spans="1:13" s="181" customFormat="1" ht="20.100000000000001" customHeight="1" x14ac:dyDescent="0.25">
      <c r="A165" s="206">
        <f t="shared" si="20"/>
        <v>140</v>
      </c>
      <c r="B165" s="266" t="s">
        <v>492</v>
      </c>
      <c r="C165" s="291" t="s">
        <v>880</v>
      </c>
      <c r="D165" s="219"/>
      <c r="E165" s="291">
        <v>142</v>
      </c>
      <c r="F165" s="264" t="s">
        <v>101</v>
      </c>
      <c r="G165" s="265">
        <v>1</v>
      </c>
      <c r="H165" s="404">
        <v>73.97</v>
      </c>
      <c r="I165" s="341">
        <f t="shared" si="19"/>
        <v>73.97</v>
      </c>
      <c r="J165" s="362"/>
      <c r="L165" s="180"/>
      <c r="M165" s="180"/>
    </row>
    <row r="166" spans="1:13" s="181" customFormat="1" ht="20.100000000000001" customHeight="1" x14ac:dyDescent="0.25">
      <c r="A166" s="206">
        <f t="shared" si="20"/>
        <v>141</v>
      </c>
      <c r="B166" s="266" t="s">
        <v>493</v>
      </c>
      <c r="C166" s="274" t="s">
        <v>1150</v>
      </c>
      <c r="D166" s="267"/>
      <c r="E166" s="291">
        <v>143</v>
      </c>
      <c r="F166" s="264" t="s">
        <v>189</v>
      </c>
      <c r="G166" s="265">
        <v>1</v>
      </c>
      <c r="H166" s="402">
        <v>333.05</v>
      </c>
      <c r="I166" s="341">
        <f t="shared" si="19"/>
        <v>333.05</v>
      </c>
      <c r="J166" s="362"/>
      <c r="L166" s="180"/>
      <c r="M166" s="180"/>
    </row>
    <row r="167" spans="1:13" s="181" customFormat="1" ht="20.100000000000001" customHeight="1" x14ac:dyDescent="0.25">
      <c r="A167" s="206">
        <f t="shared" si="20"/>
        <v>142</v>
      </c>
      <c r="B167" s="266" t="s">
        <v>494</v>
      </c>
      <c r="C167" s="289" t="s">
        <v>784</v>
      </c>
      <c r="D167" s="267"/>
      <c r="E167" s="291">
        <v>144</v>
      </c>
      <c r="F167" s="264" t="s">
        <v>189</v>
      </c>
      <c r="G167" s="265">
        <v>4</v>
      </c>
      <c r="H167" s="403">
        <v>187.34</v>
      </c>
      <c r="I167" s="341">
        <f t="shared" si="19"/>
        <v>749.36</v>
      </c>
      <c r="J167" s="362"/>
      <c r="L167" s="180"/>
      <c r="M167" s="180"/>
    </row>
    <row r="168" spans="1:13" s="181" customFormat="1" ht="20.100000000000001" customHeight="1" x14ac:dyDescent="0.25">
      <c r="A168" s="206">
        <f t="shared" si="20"/>
        <v>143</v>
      </c>
      <c r="B168" s="266" t="s">
        <v>495</v>
      </c>
      <c r="C168" s="275" t="s">
        <v>881</v>
      </c>
      <c r="D168" s="206"/>
      <c r="E168" s="291">
        <v>145</v>
      </c>
      <c r="F168" s="264" t="s">
        <v>189</v>
      </c>
      <c r="G168" s="265">
        <v>1</v>
      </c>
      <c r="H168" s="403">
        <v>212.34</v>
      </c>
      <c r="I168" s="341">
        <f t="shared" si="19"/>
        <v>212.34</v>
      </c>
      <c r="J168" s="362"/>
      <c r="L168" s="180"/>
      <c r="M168" s="180"/>
    </row>
    <row r="169" spans="1:13" s="181" customFormat="1" ht="20.100000000000001" customHeight="1" x14ac:dyDescent="0.25">
      <c r="A169" s="206">
        <f t="shared" si="20"/>
        <v>144</v>
      </c>
      <c r="B169" s="266" t="s">
        <v>496</v>
      </c>
      <c r="C169" s="275" t="s">
        <v>785</v>
      </c>
      <c r="D169" s="206"/>
      <c r="E169" s="291">
        <v>146</v>
      </c>
      <c r="F169" s="264" t="s">
        <v>189</v>
      </c>
      <c r="G169" s="265">
        <v>5</v>
      </c>
      <c r="H169" s="403">
        <v>21.98</v>
      </c>
      <c r="I169" s="341">
        <f t="shared" si="19"/>
        <v>109.9</v>
      </c>
      <c r="J169" s="362"/>
      <c r="L169" s="180"/>
      <c r="M169" s="180"/>
    </row>
    <row r="170" spans="1:13" s="181" customFormat="1" ht="20.100000000000001" customHeight="1" x14ac:dyDescent="0.25">
      <c r="A170" s="206">
        <f t="shared" si="20"/>
        <v>145</v>
      </c>
      <c r="B170" s="266" t="s">
        <v>497</v>
      </c>
      <c r="C170" s="274" t="s">
        <v>1151</v>
      </c>
      <c r="D170" s="206"/>
      <c r="E170" s="291">
        <v>147</v>
      </c>
      <c r="F170" s="264" t="s">
        <v>189</v>
      </c>
      <c r="G170" s="265">
        <v>1</v>
      </c>
      <c r="H170" s="403">
        <v>201.12</v>
      </c>
      <c r="I170" s="341">
        <f t="shared" si="19"/>
        <v>201.12</v>
      </c>
      <c r="J170" s="362"/>
      <c r="L170" s="180"/>
      <c r="M170" s="180"/>
    </row>
    <row r="171" spans="1:13" s="181" customFormat="1" ht="20.100000000000001" customHeight="1" x14ac:dyDescent="0.25">
      <c r="A171" s="206">
        <f t="shared" si="20"/>
        <v>146</v>
      </c>
      <c r="B171" s="266" t="s">
        <v>498</v>
      </c>
      <c r="C171" s="291" t="s">
        <v>787</v>
      </c>
      <c r="D171" s="264"/>
      <c r="E171" s="291">
        <v>148</v>
      </c>
      <c r="F171" s="264" t="s">
        <v>189</v>
      </c>
      <c r="G171" s="265">
        <v>5</v>
      </c>
      <c r="H171" s="403">
        <v>21.05</v>
      </c>
      <c r="I171" s="341">
        <f t="shared" si="19"/>
        <v>105.25</v>
      </c>
      <c r="J171" s="362"/>
      <c r="L171" s="180"/>
      <c r="M171" s="180"/>
    </row>
    <row r="172" spans="1:13" s="181" customFormat="1" ht="20.100000000000001" customHeight="1" x14ac:dyDescent="0.25">
      <c r="A172" s="206">
        <f t="shared" si="20"/>
        <v>147</v>
      </c>
      <c r="B172" s="266" t="s">
        <v>499</v>
      </c>
      <c r="C172" s="275" t="s">
        <v>788</v>
      </c>
      <c r="D172" s="206"/>
      <c r="E172" s="291">
        <v>149</v>
      </c>
      <c r="F172" s="264" t="s">
        <v>189</v>
      </c>
      <c r="G172" s="265">
        <v>5</v>
      </c>
      <c r="H172" s="403">
        <v>28.06</v>
      </c>
      <c r="I172" s="341">
        <f t="shared" si="19"/>
        <v>140.29999999999998</v>
      </c>
      <c r="J172" s="362"/>
      <c r="L172" s="180"/>
      <c r="M172" s="180"/>
    </row>
    <row r="173" spans="1:13" s="181" customFormat="1" ht="20.100000000000001" customHeight="1" x14ac:dyDescent="0.25">
      <c r="A173" s="206">
        <f t="shared" si="20"/>
        <v>148</v>
      </c>
      <c r="B173" s="266" t="s">
        <v>500</v>
      </c>
      <c r="C173" s="310" t="s">
        <v>789</v>
      </c>
      <c r="D173" s="189"/>
      <c r="E173" s="291">
        <v>150</v>
      </c>
      <c r="F173" s="264" t="s">
        <v>189</v>
      </c>
      <c r="G173" s="265">
        <v>5</v>
      </c>
      <c r="H173" s="403">
        <v>16.41</v>
      </c>
      <c r="I173" s="341">
        <f t="shared" si="19"/>
        <v>82.05</v>
      </c>
      <c r="J173" s="362"/>
      <c r="L173" s="180"/>
      <c r="M173" s="180"/>
    </row>
    <row r="174" spans="1:13" s="181" customFormat="1" ht="20.100000000000001" customHeight="1" x14ac:dyDescent="0.25">
      <c r="A174" s="206">
        <f t="shared" si="20"/>
        <v>149</v>
      </c>
      <c r="B174" s="266" t="s">
        <v>501</v>
      </c>
      <c r="C174" s="310" t="s">
        <v>790</v>
      </c>
      <c r="D174" s="189"/>
      <c r="E174" s="291">
        <v>151</v>
      </c>
      <c r="F174" s="264" t="s">
        <v>189</v>
      </c>
      <c r="G174" s="265">
        <v>3</v>
      </c>
      <c r="H174" s="403">
        <v>330.05</v>
      </c>
      <c r="I174" s="341">
        <f t="shared" si="19"/>
        <v>990.15000000000009</v>
      </c>
      <c r="J174" s="362"/>
      <c r="L174" s="180"/>
      <c r="M174" s="180"/>
    </row>
    <row r="175" spans="1:13" s="181" customFormat="1" ht="20.100000000000001" customHeight="1" x14ac:dyDescent="0.25">
      <c r="A175" s="206">
        <f t="shared" si="20"/>
        <v>150</v>
      </c>
      <c r="B175" s="266" t="s">
        <v>502</v>
      </c>
      <c r="C175" s="310" t="s">
        <v>791</v>
      </c>
      <c r="D175" s="189"/>
      <c r="E175" s="291">
        <v>152</v>
      </c>
      <c r="F175" s="264" t="s">
        <v>189</v>
      </c>
      <c r="G175" s="265">
        <v>5</v>
      </c>
      <c r="H175" s="403">
        <v>12.95</v>
      </c>
      <c r="I175" s="341">
        <f t="shared" si="19"/>
        <v>64.75</v>
      </c>
      <c r="J175" s="362"/>
      <c r="L175" s="180"/>
      <c r="M175" s="180"/>
    </row>
    <row r="176" spans="1:13" s="181" customFormat="1" ht="20.100000000000001" customHeight="1" x14ac:dyDescent="0.25">
      <c r="A176" s="206">
        <f t="shared" si="20"/>
        <v>151</v>
      </c>
      <c r="B176" s="266" t="s">
        <v>503</v>
      </c>
      <c r="C176" s="310" t="s">
        <v>792</v>
      </c>
      <c r="D176" s="189"/>
      <c r="E176" s="291">
        <v>153</v>
      </c>
      <c r="F176" s="264" t="s">
        <v>189</v>
      </c>
      <c r="G176" s="265">
        <v>5</v>
      </c>
      <c r="H176" s="403">
        <v>22.97</v>
      </c>
      <c r="I176" s="341">
        <f t="shared" si="19"/>
        <v>114.85</v>
      </c>
      <c r="J176" s="362"/>
      <c r="L176" s="180"/>
      <c r="M176" s="180"/>
    </row>
    <row r="177" spans="1:13" s="181" customFormat="1" ht="20.100000000000001" customHeight="1" x14ac:dyDescent="0.25">
      <c r="A177" s="206">
        <f t="shared" si="20"/>
        <v>152</v>
      </c>
      <c r="B177" s="266" t="s">
        <v>504</v>
      </c>
      <c r="C177" s="275" t="s">
        <v>1152</v>
      </c>
      <c r="D177" s="192" t="s">
        <v>948</v>
      </c>
      <c r="E177" s="291">
        <v>154</v>
      </c>
      <c r="F177" s="264" t="s">
        <v>189</v>
      </c>
      <c r="G177" s="265">
        <v>5</v>
      </c>
      <c r="H177" s="403">
        <v>60.62</v>
      </c>
      <c r="I177" s="341">
        <f t="shared" si="19"/>
        <v>303.09999999999997</v>
      </c>
      <c r="J177" s="362"/>
      <c r="L177" s="180"/>
      <c r="M177" s="180"/>
    </row>
    <row r="178" spans="1:13" s="181" customFormat="1" ht="20.100000000000001" customHeight="1" x14ac:dyDescent="0.25">
      <c r="A178" s="206">
        <f t="shared" si="20"/>
        <v>153</v>
      </c>
      <c r="B178" s="266" t="s">
        <v>505</v>
      </c>
      <c r="C178" s="207" t="s">
        <v>793</v>
      </c>
      <c r="D178" s="219" t="s">
        <v>786</v>
      </c>
      <c r="E178" s="291">
        <v>155</v>
      </c>
      <c r="F178" s="264" t="s">
        <v>189</v>
      </c>
      <c r="G178" s="265">
        <v>5</v>
      </c>
      <c r="H178" s="403">
        <v>143.38999999999999</v>
      </c>
      <c r="I178" s="341">
        <f t="shared" si="19"/>
        <v>716.94999999999993</v>
      </c>
      <c r="J178" s="362"/>
      <c r="L178" s="180"/>
      <c r="M178" s="180"/>
    </row>
    <row r="179" spans="1:13" s="181" customFormat="1" ht="20.100000000000001" customHeight="1" x14ac:dyDescent="0.25">
      <c r="A179" s="206">
        <f t="shared" si="20"/>
        <v>154</v>
      </c>
      <c r="B179" s="266" t="s">
        <v>506</v>
      </c>
      <c r="C179" s="312" t="s">
        <v>1153</v>
      </c>
      <c r="D179" s="192" t="s">
        <v>948</v>
      </c>
      <c r="E179" s="291">
        <v>156</v>
      </c>
      <c r="F179" s="264" t="s">
        <v>189</v>
      </c>
      <c r="G179" s="265">
        <v>2</v>
      </c>
      <c r="H179" s="403">
        <v>70.3</v>
      </c>
      <c r="I179" s="341">
        <f t="shared" si="19"/>
        <v>140.6</v>
      </c>
      <c r="J179" s="362"/>
      <c r="L179" s="180"/>
      <c r="M179" s="180"/>
    </row>
    <row r="180" spans="1:13" s="181" customFormat="1" ht="20.100000000000001" customHeight="1" x14ac:dyDescent="0.25">
      <c r="A180" s="206">
        <f t="shared" si="20"/>
        <v>155</v>
      </c>
      <c r="B180" s="266" t="s">
        <v>507</v>
      </c>
      <c r="C180" s="311" t="s">
        <v>794</v>
      </c>
      <c r="D180" s="190"/>
      <c r="E180" s="291">
        <v>157</v>
      </c>
      <c r="F180" s="264" t="s">
        <v>189</v>
      </c>
      <c r="G180" s="265">
        <v>7</v>
      </c>
      <c r="H180" s="403">
        <v>42.02</v>
      </c>
      <c r="I180" s="341">
        <f t="shared" si="19"/>
        <v>294.14000000000004</v>
      </c>
      <c r="J180" s="362"/>
      <c r="L180" s="180"/>
      <c r="M180" s="180"/>
    </row>
    <row r="181" spans="1:13" s="181" customFormat="1" ht="20.100000000000001" customHeight="1" x14ac:dyDescent="0.25">
      <c r="A181" s="206">
        <f t="shared" si="20"/>
        <v>156</v>
      </c>
      <c r="B181" s="266" t="s">
        <v>508</v>
      </c>
      <c r="C181" s="313" t="s">
        <v>795</v>
      </c>
      <c r="D181" s="189" t="s">
        <v>950</v>
      </c>
      <c r="E181" s="291">
        <v>158</v>
      </c>
      <c r="F181" s="264" t="s">
        <v>189</v>
      </c>
      <c r="G181" s="265">
        <v>2</v>
      </c>
      <c r="H181" s="403">
        <v>241.14</v>
      </c>
      <c r="I181" s="341">
        <f t="shared" si="19"/>
        <v>482.28</v>
      </c>
      <c r="J181" s="362"/>
      <c r="L181" s="180"/>
      <c r="M181" s="180"/>
    </row>
    <row r="182" spans="1:13" s="181" customFormat="1" ht="20.100000000000001" customHeight="1" x14ac:dyDescent="0.25">
      <c r="A182" s="206">
        <f t="shared" si="20"/>
        <v>157</v>
      </c>
      <c r="B182" s="266" t="s">
        <v>509</v>
      </c>
      <c r="C182" s="310" t="s">
        <v>796</v>
      </c>
      <c r="D182" s="189" t="s">
        <v>950</v>
      </c>
      <c r="E182" s="291">
        <v>159</v>
      </c>
      <c r="F182" s="264" t="s">
        <v>189</v>
      </c>
      <c r="G182" s="265">
        <v>1</v>
      </c>
      <c r="H182" s="403">
        <v>192.06</v>
      </c>
      <c r="I182" s="341">
        <f t="shared" si="19"/>
        <v>192.06</v>
      </c>
      <c r="J182" s="362"/>
      <c r="L182" s="180"/>
      <c r="M182" s="180"/>
    </row>
    <row r="183" spans="1:13" s="181" customFormat="1" ht="20.100000000000001" customHeight="1" x14ac:dyDescent="0.25">
      <c r="A183" s="206">
        <f t="shared" si="20"/>
        <v>158</v>
      </c>
      <c r="B183" s="266" t="s">
        <v>510</v>
      </c>
      <c r="C183" s="314" t="s">
        <v>797</v>
      </c>
      <c r="D183" s="192"/>
      <c r="E183" s="291">
        <v>160</v>
      </c>
      <c r="F183" s="264" t="s">
        <v>189</v>
      </c>
      <c r="G183" s="265">
        <v>1</v>
      </c>
      <c r="H183" s="403">
        <v>1648.9</v>
      </c>
      <c r="I183" s="341">
        <f t="shared" si="19"/>
        <v>1648.9</v>
      </c>
      <c r="J183" s="362"/>
      <c r="L183" s="180"/>
      <c r="M183" s="180"/>
    </row>
    <row r="184" spans="1:13" s="181" customFormat="1" ht="20.100000000000001" customHeight="1" x14ac:dyDescent="0.25">
      <c r="A184" s="206">
        <f t="shared" si="20"/>
        <v>159</v>
      </c>
      <c r="B184" s="266" t="s">
        <v>511</v>
      </c>
      <c r="C184" s="314" t="s">
        <v>1154</v>
      </c>
      <c r="D184" s="192" t="s">
        <v>1155</v>
      </c>
      <c r="E184" s="291">
        <v>161</v>
      </c>
      <c r="F184" s="264" t="s">
        <v>189</v>
      </c>
      <c r="G184" s="265">
        <v>3</v>
      </c>
      <c r="H184" s="403">
        <v>503.45</v>
      </c>
      <c r="I184" s="341">
        <f t="shared" si="19"/>
        <v>1510.35</v>
      </c>
      <c r="J184" s="362"/>
      <c r="L184" s="180"/>
      <c r="M184" s="180"/>
    </row>
    <row r="185" spans="1:13" s="181" customFormat="1" ht="20.100000000000001" customHeight="1" x14ac:dyDescent="0.25">
      <c r="A185" s="206">
        <f t="shared" si="20"/>
        <v>160</v>
      </c>
      <c r="B185" s="266" t="s">
        <v>512</v>
      </c>
      <c r="C185" s="315" t="s">
        <v>358</v>
      </c>
      <c r="D185" s="192" t="s">
        <v>1156</v>
      </c>
      <c r="E185" s="291">
        <v>162</v>
      </c>
      <c r="F185" s="264" t="s">
        <v>466</v>
      </c>
      <c r="G185" s="265">
        <v>42.62</v>
      </c>
      <c r="H185" s="403">
        <v>24.08</v>
      </c>
      <c r="I185" s="341">
        <f t="shared" si="19"/>
        <v>1026.2895999999998</v>
      </c>
      <c r="J185" s="362"/>
      <c r="L185" s="180"/>
      <c r="M185" s="180"/>
    </row>
    <row r="186" spans="1:13" s="181" customFormat="1" ht="20.100000000000001" customHeight="1" x14ac:dyDescent="0.25">
      <c r="A186" s="206">
        <f t="shared" si="20"/>
        <v>161</v>
      </c>
      <c r="B186" s="266" t="s">
        <v>513</v>
      </c>
      <c r="C186" s="314" t="s">
        <v>361</v>
      </c>
      <c r="D186" s="192" t="s">
        <v>1156</v>
      </c>
      <c r="E186" s="291">
        <v>163</v>
      </c>
      <c r="F186" s="264" t="s">
        <v>466</v>
      </c>
      <c r="G186" s="265">
        <v>101.5</v>
      </c>
      <c r="H186" s="403">
        <v>14.69</v>
      </c>
      <c r="I186" s="341">
        <f t="shared" si="19"/>
        <v>1491.0349999999999</v>
      </c>
      <c r="J186" s="362"/>
      <c r="L186" s="180"/>
      <c r="M186" s="180"/>
    </row>
    <row r="187" spans="1:13" s="181" customFormat="1" ht="20.100000000000001" customHeight="1" thickBot="1" x14ac:dyDescent="0.3">
      <c r="A187" s="206">
        <f t="shared" si="20"/>
        <v>162</v>
      </c>
      <c r="B187" s="268" t="s">
        <v>770</v>
      </c>
      <c r="C187" s="316" t="s">
        <v>798</v>
      </c>
      <c r="D187" s="191"/>
      <c r="E187" s="291">
        <v>164</v>
      </c>
      <c r="F187" s="201" t="s">
        <v>189</v>
      </c>
      <c r="G187" s="269">
        <v>7</v>
      </c>
      <c r="H187" s="404">
        <v>16.34</v>
      </c>
      <c r="I187" s="342">
        <f t="shared" si="19"/>
        <v>114.38</v>
      </c>
      <c r="J187" s="363"/>
      <c r="L187" s="180"/>
      <c r="M187" s="180"/>
    </row>
    <row r="188" spans="1:13" s="181" customFormat="1" ht="24.9" customHeight="1" thickBot="1" x14ac:dyDescent="0.3">
      <c r="A188" s="184"/>
      <c r="B188" s="173"/>
      <c r="C188" s="305"/>
      <c r="D188" s="520" t="s">
        <v>1255</v>
      </c>
      <c r="E188" s="521"/>
      <c r="F188" s="517"/>
      <c r="G188" s="517"/>
      <c r="H188" s="518"/>
      <c r="I188" s="337">
        <f>SUM(I148:I187)</f>
        <v>18970.392600000003</v>
      </c>
      <c r="J188" s="357">
        <f>I188</f>
        <v>18970.392600000003</v>
      </c>
      <c r="L188" s="180"/>
      <c r="M188" s="180"/>
    </row>
    <row r="189" spans="1:13" s="181" customFormat="1" ht="20.100000000000001" customHeight="1" x14ac:dyDescent="0.25">
      <c r="A189" s="199"/>
      <c r="B189" s="200" t="s">
        <v>1229</v>
      </c>
      <c r="C189" s="176"/>
      <c r="D189" s="177"/>
      <c r="E189" s="321"/>
      <c r="F189" s="177"/>
      <c r="G189" s="109"/>
      <c r="H189" s="109"/>
      <c r="I189" s="343"/>
      <c r="J189" s="361"/>
      <c r="L189" s="180"/>
      <c r="M189" s="180"/>
    </row>
    <row r="190" spans="1:13" s="181" customFormat="1" ht="20.100000000000001" customHeight="1" x14ac:dyDescent="0.25">
      <c r="A190" s="206">
        <f>A187+1</f>
        <v>163</v>
      </c>
      <c r="B190" s="266" t="s">
        <v>515</v>
      </c>
      <c r="C190" s="207" t="s">
        <v>799</v>
      </c>
      <c r="D190" s="264"/>
      <c r="E190" s="291">
        <v>125</v>
      </c>
      <c r="F190" s="264" t="s">
        <v>16</v>
      </c>
      <c r="G190" s="265">
        <v>7.68</v>
      </c>
      <c r="H190" s="265">
        <v>22.97</v>
      </c>
      <c r="I190" s="341">
        <f>G190*H190</f>
        <v>176.40959999999998</v>
      </c>
      <c r="J190" s="362"/>
      <c r="L190" s="180"/>
      <c r="M190" s="180"/>
    </row>
    <row r="191" spans="1:13" s="181" customFormat="1" ht="20.100000000000001" customHeight="1" x14ac:dyDescent="0.25">
      <c r="A191" s="206">
        <f>A190+1</f>
        <v>164</v>
      </c>
      <c r="B191" s="266" t="s">
        <v>516</v>
      </c>
      <c r="C191" s="207" t="s">
        <v>800</v>
      </c>
      <c r="D191" s="264"/>
      <c r="E191" s="291">
        <v>165</v>
      </c>
      <c r="F191" s="264" t="s">
        <v>101</v>
      </c>
      <c r="G191" s="265">
        <v>1</v>
      </c>
      <c r="H191" s="265">
        <v>147.68</v>
      </c>
      <c r="I191" s="341">
        <f t="shared" ref="I191:I214" si="21">G191*H191</f>
        <v>147.68</v>
      </c>
      <c r="J191" s="362"/>
      <c r="L191" s="180"/>
      <c r="M191" s="180"/>
    </row>
    <row r="192" spans="1:13" s="181" customFormat="1" ht="20.100000000000001" customHeight="1" x14ac:dyDescent="0.25">
      <c r="A192" s="206">
        <f t="shared" ref="A192:A214" si="22">A191+1</f>
        <v>165</v>
      </c>
      <c r="B192" s="266" t="s">
        <v>517</v>
      </c>
      <c r="C192" s="207" t="s">
        <v>801</v>
      </c>
      <c r="D192" s="264" t="s">
        <v>1192</v>
      </c>
      <c r="E192" s="291">
        <v>128</v>
      </c>
      <c r="F192" s="264" t="s">
        <v>539</v>
      </c>
      <c r="G192" s="265">
        <v>24</v>
      </c>
      <c r="H192" s="265">
        <v>1.99</v>
      </c>
      <c r="I192" s="341">
        <f t="shared" si="21"/>
        <v>47.76</v>
      </c>
      <c r="J192" s="362"/>
      <c r="L192" s="180"/>
      <c r="M192" s="180"/>
    </row>
    <row r="193" spans="1:13" s="181" customFormat="1" ht="20.100000000000001" customHeight="1" x14ac:dyDescent="0.25">
      <c r="A193" s="206">
        <f t="shared" si="22"/>
        <v>166</v>
      </c>
      <c r="B193" s="270" t="s">
        <v>518</v>
      </c>
      <c r="C193" s="207" t="s">
        <v>1157</v>
      </c>
      <c r="D193" s="264" t="s">
        <v>805</v>
      </c>
      <c r="E193" s="291">
        <v>166</v>
      </c>
      <c r="F193" s="264" t="s">
        <v>465</v>
      </c>
      <c r="G193" s="265">
        <v>20</v>
      </c>
      <c r="H193" s="265">
        <v>21.03</v>
      </c>
      <c r="I193" s="341">
        <f t="shared" si="21"/>
        <v>420.6</v>
      </c>
      <c r="J193" s="362"/>
      <c r="L193" s="180"/>
      <c r="M193" s="180"/>
    </row>
    <row r="194" spans="1:13" s="181" customFormat="1" ht="20.100000000000001" customHeight="1" x14ac:dyDescent="0.25">
      <c r="A194" s="206">
        <f t="shared" si="22"/>
        <v>167</v>
      </c>
      <c r="B194" s="270" t="s">
        <v>519</v>
      </c>
      <c r="C194" s="274" t="s">
        <v>1158</v>
      </c>
      <c r="D194" s="264" t="s">
        <v>805</v>
      </c>
      <c r="E194" s="291">
        <v>167</v>
      </c>
      <c r="F194" s="264" t="s">
        <v>465</v>
      </c>
      <c r="G194" s="265">
        <v>12</v>
      </c>
      <c r="H194" s="265">
        <v>19.989999999999998</v>
      </c>
      <c r="I194" s="341">
        <f t="shared" si="21"/>
        <v>239.88</v>
      </c>
      <c r="J194" s="362"/>
      <c r="L194" s="263" t="s">
        <v>805</v>
      </c>
      <c r="M194" s="180"/>
    </row>
    <row r="195" spans="1:13" s="181" customFormat="1" ht="20.100000000000001" customHeight="1" x14ac:dyDescent="0.25">
      <c r="A195" s="206">
        <f t="shared" si="22"/>
        <v>168</v>
      </c>
      <c r="B195" s="270" t="s">
        <v>520</v>
      </c>
      <c r="C195" s="274" t="s">
        <v>1159</v>
      </c>
      <c r="D195" s="264" t="s">
        <v>805</v>
      </c>
      <c r="E195" s="291">
        <v>168</v>
      </c>
      <c r="F195" s="264" t="s">
        <v>465</v>
      </c>
      <c r="G195" s="265">
        <v>125</v>
      </c>
      <c r="H195" s="265">
        <v>15.81</v>
      </c>
      <c r="I195" s="341">
        <f t="shared" si="21"/>
        <v>1976.25</v>
      </c>
      <c r="J195" s="362"/>
      <c r="L195" s="180"/>
      <c r="M195" s="180"/>
    </row>
    <row r="196" spans="1:13" s="181" customFormat="1" ht="20.100000000000001" customHeight="1" x14ac:dyDescent="0.25">
      <c r="A196" s="206">
        <f t="shared" si="22"/>
        <v>169</v>
      </c>
      <c r="B196" s="270" t="s">
        <v>521</v>
      </c>
      <c r="C196" s="207" t="s">
        <v>1160</v>
      </c>
      <c r="D196" s="264" t="s">
        <v>805</v>
      </c>
      <c r="E196" s="291">
        <v>169</v>
      </c>
      <c r="F196" s="264" t="s">
        <v>465</v>
      </c>
      <c r="G196" s="265">
        <v>125</v>
      </c>
      <c r="H196" s="265">
        <v>7.75</v>
      </c>
      <c r="I196" s="341">
        <f t="shared" si="21"/>
        <v>968.75</v>
      </c>
      <c r="J196" s="362"/>
      <c r="L196" s="180"/>
      <c r="M196" s="180"/>
    </row>
    <row r="197" spans="1:13" s="181" customFormat="1" ht="20.100000000000001" customHeight="1" x14ac:dyDescent="0.25">
      <c r="A197" s="206">
        <f t="shared" si="22"/>
        <v>170</v>
      </c>
      <c r="B197" s="270" t="s">
        <v>522</v>
      </c>
      <c r="C197" s="207" t="s">
        <v>1161</v>
      </c>
      <c r="D197" s="264"/>
      <c r="E197" s="291">
        <v>170</v>
      </c>
      <c r="F197" s="264" t="s">
        <v>189</v>
      </c>
      <c r="G197" s="265">
        <v>1</v>
      </c>
      <c r="H197" s="265">
        <v>109.77</v>
      </c>
      <c r="I197" s="341">
        <f t="shared" si="21"/>
        <v>109.77</v>
      </c>
      <c r="J197" s="362"/>
      <c r="L197" s="180"/>
      <c r="M197" s="180"/>
    </row>
    <row r="198" spans="1:13" s="181" customFormat="1" ht="20.100000000000001" customHeight="1" x14ac:dyDescent="0.25">
      <c r="A198" s="206">
        <f t="shared" si="22"/>
        <v>171</v>
      </c>
      <c r="B198" s="270" t="s">
        <v>523</v>
      </c>
      <c r="C198" s="207" t="s">
        <v>1162</v>
      </c>
      <c r="D198" s="264"/>
      <c r="E198" s="291">
        <v>171</v>
      </c>
      <c r="F198" s="264" t="s">
        <v>189</v>
      </c>
      <c r="G198" s="265">
        <v>1</v>
      </c>
      <c r="H198" s="265">
        <v>41.64</v>
      </c>
      <c r="I198" s="341">
        <f t="shared" si="21"/>
        <v>41.64</v>
      </c>
      <c r="J198" s="362"/>
      <c r="L198" s="180"/>
      <c r="M198" s="180"/>
    </row>
    <row r="199" spans="1:13" s="181" customFormat="1" ht="20.100000000000001" customHeight="1" x14ac:dyDescent="0.25">
      <c r="A199" s="206">
        <f t="shared" si="22"/>
        <v>172</v>
      </c>
      <c r="B199" s="270" t="s">
        <v>524</v>
      </c>
      <c r="C199" s="207" t="s">
        <v>1163</v>
      </c>
      <c r="D199" s="264"/>
      <c r="E199" s="291">
        <v>172</v>
      </c>
      <c r="F199" s="264" t="s">
        <v>189</v>
      </c>
      <c r="G199" s="265">
        <v>2</v>
      </c>
      <c r="H199" s="265">
        <v>103.62</v>
      </c>
      <c r="I199" s="341">
        <f t="shared" si="21"/>
        <v>207.24</v>
      </c>
      <c r="J199" s="362"/>
      <c r="L199" s="180"/>
      <c r="M199" s="180"/>
    </row>
    <row r="200" spans="1:13" s="181" customFormat="1" ht="20.100000000000001" customHeight="1" x14ac:dyDescent="0.25">
      <c r="A200" s="206">
        <f t="shared" si="22"/>
        <v>173</v>
      </c>
      <c r="B200" s="270" t="s">
        <v>525</v>
      </c>
      <c r="C200" s="207" t="s">
        <v>1164</v>
      </c>
      <c r="D200" s="264" t="s">
        <v>948</v>
      </c>
      <c r="E200" s="291">
        <v>173</v>
      </c>
      <c r="F200" s="264" t="s">
        <v>189</v>
      </c>
      <c r="G200" s="265">
        <v>3</v>
      </c>
      <c r="H200" s="265">
        <v>13.4</v>
      </c>
      <c r="I200" s="341">
        <f t="shared" si="21"/>
        <v>40.200000000000003</v>
      </c>
      <c r="J200" s="362"/>
      <c r="L200" s="180"/>
      <c r="M200" s="180"/>
    </row>
    <row r="201" spans="1:13" s="181" customFormat="1" ht="20.100000000000001" customHeight="1" x14ac:dyDescent="0.25">
      <c r="A201" s="206">
        <f t="shared" si="22"/>
        <v>174</v>
      </c>
      <c r="B201" s="270" t="s">
        <v>526</v>
      </c>
      <c r="C201" s="207" t="s">
        <v>1165</v>
      </c>
      <c r="D201" s="264"/>
      <c r="E201" s="291">
        <v>174</v>
      </c>
      <c r="F201" s="264" t="s">
        <v>189</v>
      </c>
      <c r="G201" s="265">
        <v>2</v>
      </c>
      <c r="H201" s="265">
        <v>17.100000000000001</v>
      </c>
      <c r="I201" s="341">
        <f t="shared" si="21"/>
        <v>34.200000000000003</v>
      </c>
      <c r="J201" s="362"/>
      <c r="L201" s="180"/>
      <c r="M201" s="180"/>
    </row>
    <row r="202" spans="1:13" s="181" customFormat="1" ht="20.100000000000001" customHeight="1" x14ac:dyDescent="0.25">
      <c r="A202" s="206">
        <f t="shared" si="22"/>
        <v>175</v>
      </c>
      <c r="B202" s="270" t="s">
        <v>527</v>
      </c>
      <c r="C202" s="207" t="s">
        <v>1166</v>
      </c>
      <c r="D202" s="264"/>
      <c r="E202" s="291">
        <v>175</v>
      </c>
      <c r="F202" s="264" t="s">
        <v>189</v>
      </c>
      <c r="G202" s="265">
        <v>1</v>
      </c>
      <c r="H202" s="265">
        <v>34.58</v>
      </c>
      <c r="I202" s="341">
        <f t="shared" si="21"/>
        <v>34.58</v>
      </c>
      <c r="J202" s="362"/>
      <c r="L202" s="180"/>
      <c r="M202" s="180"/>
    </row>
    <row r="203" spans="1:13" s="181" customFormat="1" ht="20.100000000000001" customHeight="1" x14ac:dyDescent="0.25">
      <c r="A203" s="206">
        <f t="shared" si="22"/>
        <v>176</v>
      </c>
      <c r="B203" s="270" t="s">
        <v>528</v>
      </c>
      <c r="C203" s="207" t="s">
        <v>1167</v>
      </c>
      <c r="D203" s="264"/>
      <c r="E203" s="291">
        <v>176</v>
      </c>
      <c r="F203" s="264" t="s">
        <v>189</v>
      </c>
      <c r="G203" s="265">
        <v>19</v>
      </c>
      <c r="H203" s="265">
        <v>15.5</v>
      </c>
      <c r="I203" s="341">
        <f t="shared" si="21"/>
        <v>294.5</v>
      </c>
      <c r="J203" s="362"/>
      <c r="L203" s="180"/>
      <c r="M203" s="180"/>
    </row>
    <row r="204" spans="1:13" s="181" customFormat="1" ht="20.100000000000001" customHeight="1" x14ac:dyDescent="0.25">
      <c r="A204" s="206">
        <f t="shared" si="22"/>
        <v>177</v>
      </c>
      <c r="B204" s="270" t="s">
        <v>529</v>
      </c>
      <c r="C204" s="207" t="s">
        <v>1168</v>
      </c>
      <c r="D204" s="264"/>
      <c r="E204" s="291">
        <v>177</v>
      </c>
      <c r="F204" s="264" t="s">
        <v>189</v>
      </c>
      <c r="G204" s="265">
        <v>19</v>
      </c>
      <c r="H204" s="265">
        <v>17.690000000000001</v>
      </c>
      <c r="I204" s="341">
        <f t="shared" si="21"/>
        <v>336.11</v>
      </c>
      <c r="J204" s="362"/>
      <c r="L204" s="180"/>
      <c r="M204" s="180"/>
    </row>
    <row r="205" spans="1:13" s="181" customFormat="1" ht="20.100000000000001" customHeight="1" x14ac:dyDescent="0.25">
      <c r="A205" s="206">
        <f t="shared" si="22"/>
        <v>178</v>
      </c>
      <c r="B205" s="270" t="s">
        <v>530</v>
      </c>
      <c r="C205" s="207" t="s">
        <v>1169</v>
      </c>
      <c r="D205" s="264"/>
      <c r="E205" s="291">
        <v>178</v>
      </c>
      <c r="F205" s="264" t="s">
        <v>189</v>
      </c>
      <c r="G205" s="265">
        <v>1</v>
      </c>
      <c r="H205" s="265">
        <v>138.4</v>
      </c>
      <c r="I205" s="341">
        <f t="shared" si="21"/>
        <v>138.4</v>
      </c>
      <c r="J205" s="362"/>
      <c r="L205" s="180"/>
      <c r="M205" s="180"/>
    </row>
    <row r="206" spans="1:13" s="181" customFormat="1" ht="20.100000000000001" customHeight="1" x14ac:dyDescent="0.25">
      <c r="A206" s="206">
        <f t="shared" si="22"/>
        <v>179</v>
      </c>
      <c r="B206" s="270" t="s">
        <v>531</v>
      </c>
      <c r="C206" s="289" t="s">
        <v>1169</v>
      </c>
      <c r="D206" s="264"/>
      <c r="E206" s="291">
        <v>179</v>
      </c>
      <c r="F206" s="264" t="s">
        <v>189</v>
      </c>
      <c r="G206" s="265">
        <v>1</v>
      </c>
      <c r="H206" s="265">
        <v>142.4</v>
      </c>
      <c r="I206" s="341">
        <f t="shared" si="21"/>
        <v>142.4</v>
      </c>
      <c r="J206" s="362"/>
      <c r="L206" s="180"/>
      <c r="M206" s="180"/>
    </row>
    <row r="207" spans="1:13" s="181" customFormat="1" ht="20.100000000000001" customHeight="1" x14ac:dyDescent="0.25">
      <c r="A207" s="206">
        <f t="shared" si="22"/>
        <v>180</v>
      </c>
      <c r="B207" s="270" t="s">
        <v>532</v>
      </c>
      <c r="C207" s="289" t="s">
        <v>1169</v>
      </c>
      <c r="D207" s="264" t="s">
        <v>948</v>
      </c>
      <c r="E207" s="291">
        <v>180</v>
      </c>
      <c r="F207" s="264" t="s">
        <v>189</v>
      </c>
      <c r="G207" s="265">
        <v>1</v>
      </c>
      <c r="H207" s="265">
        <v>146.4</v>
      </c>
      <c r="I207" s="341">
        <f t="shared" si="21"/>
        <v>146.4</v>
      </c>
      <c r="J207" s="362"/>
      <c r="L207" s="180"/>
      <c r="M207" s="180"/>
    </row>
    <row r="208" spans="1:13" s="181" customFormat="1" ht="20.100000000000001" customHeight="1" x14ac:dyDescent="0.25">
      <c r="A208" s="206">
        <f t="shared" si="22"/>
        <v>181</v>
      </c>
      <c r="B208" s="270" t="s">
        <v>533</v>
      </c>
      <c r="C208" s="207" t="s">
        <v>1170</v>
      </c>
      <c r="D208" s="264" t="s">
        <v>948</v>
      </c>
      <c r="E208" s="291">
        <v>181</v>
      </c>
      <c r="F208" s="264" t="s">
        <v>189</v>
      </c>
      <c r="G208" s="265">
        <v>3</v>
      </c>
      <c r="H208" s="265">
        <v>51.11</v>
      </c>
      <c r="I208" s="341">
        <f t="shared" si="21"/>
        <v>153.32999999999998</v>
      </c>
      <c r="J208" s="362"/>
      <c r="L208" s="180"/>
      <c r="M208" s="180"/>
    </row>
    <row r="209" spans="1:13" s="181" customFormat="1" ht="20.100000000000001" customHeight="1" x14ac:dyDescent="0.25">
      <c r="A209" s="206">
        <f t="shared" si="22"/>
        <v>182</v>
      </c>
      <c r="B209" s="270" t="s">
        <v>534</v>
      </c>
      <c r="C209" s="207" t="s">
        <v>1170</v>
      </c>
      <c r="D209" s="264" t="s">
        <v>948</v>
      </c>
      <c r="E209" s="291">
        <v>182</v>
      </c>
      <c r="F209" s="264" t="s">
        <v>189</v>
      </c>
      <c r="G209" s="265">
        <v>1</v>
      </c>
      <c r="H209" s="265">
        <v>42.01</v>
      </c>
      <c r="I209" s="341">
        <f t="shared" si="21"/>
        <v>42.01</v>
      </c>
      <c r="J209" s="362"/>
      <c r="L209" s="180"/>
      <c r="M209" s="180"/>
    </row>
    <row r="210" spans="1:13" s="181" customFormat="1" ht="20.100000000000001" customHeight="1" x14ac:dyDescent="0.25">
      <c r="A210" s="206">
        <f t="shared" si="22"/>
        <v>183</v>
      </c>
      <c r="B210" s="270" t="s">
        <v>535</v>
      </c>
      <c r="C210" s="207" t="s">
        <v>1170</v>
      </c>
      <c r="D210" s="264" t="s">
        <v>948</v>
      </c>
      <c r="E210" s="291">
        <v>183</v>
      </c>
      <c r="F210" s="264" t="s">
        <v>189</v>
      </c>
      <c r="G210" s="265">
        <v>1</v>
      </c>
      <c r="H210" s="265">
        <v>32.909999999999997</v>
      </c>
      <c r="I210" s="341">
        <f t="shared" si="21"/>
        <v>32.909999999999997</v>
      </c>
      <c r="J210" s="362"/>
      <c r="L210" s="180"/>
      <c r="M210" s="180"/>
    </row>
    <row r="211" spans="1:13" s="181" customFormat="1" ht="20.100000000000001" customHeight="1" x14ac:dyDescent="0.25">
      <c r="A211" s="206">
        <f t="shared" si="22"/>
        <v>184</v>
      </c>
      <c r="B211" s="270" t="s">
        <v>536</v>
      </c>
      <c r="C211" s="207" t="s">
        <v>1170</v>
      </c>
      <c r="D211" s="264" t="s">
        <v>948</v>
      </c>
      <c r="E211" s="291">
        <v>184</v>
      </c>
      <c r="F211" s="264" t="s">
        <v>189</v>
      </c>
      <c r="G211" s="265">
        <v>3</v>
      </c>
      <c r="H211" s="265">
        <v>51.11</v>
      </c>
      <c r="I211" s="341">
        <f t="shared" si="21"/>
        <v>153.32999999999998</v>
      </c>
      <c r="J211" s="362"/>
      <c r="L211" s="180"/>
      <c r="M211" s="180"/>
    </row>
    <row r="212" spans="1:13" s="181" customFormat="1" ht="20.100000000000001" customHeight="1" x14ac:dyDescent="0.25">
      <c r="A212" s="206">
        <f t="shared" si="22"/>
        <v>185</v>
      </c>
      <c r="B212" s="270" t="s">
        <v>537</v>
      </c>
      <c r="C212" s="482"/>
      <c r="D212" s="291" t="s">
        <v>948</v>
      </c>
      <c r="E212" s="291">
        <v>185</v>
      </c>
      <c r="F212" s="264" t="s">
        <v>189</v>
      </c>
      <c r="G212" s="265">
        <v>6</v>
      </c>
      <c r="H212" s="265">
        <v>20.67</v>
      </c>
      <c r="I212" s="341">
        <f t="shared" si="21"/>
        <v>124.02000000000001</v>
      </c>
      <c r="J212" s="362"/>
      <c r="L212" s="180"/>
      <c r="M212" s="180"/>
    </row>
    <row r="213" spans="1:13" s="181" customFormat="1" ht="20.100000000000001" customHeight="1" x14ac:dyDescent="0.25">
      <c r="A213" s="206">
        <f t="shared" si="22"/>
        <v>186</v>
      </c>
      <c r="B213" s="270" t="s">
        <v>1146</v>
      </c>
      <c r="C213" s="207" t="s">
        <v>1172</v>
      </c>
      <c r="D213" s="264" t="s">
        <v>1171</v>
      </c>
      <c r="E213" s="291">
        <v>186</v>
      </c>
      <c r="F213" s="264" t="s">
        <v>465</v>
      </c>
      <c r="G213" s="265">
        <v>60</v>
      </c>
      <c r="H213" s="265">
        <v>5.33</v>
      </c>
      <c r="I213" s="341">
        <f t="shared" si="21"/>
        <v>319.8</v>
      </c>
      <c r="J213" s="362"/>
      <c r="L213" s="180"/>
      <c r="M213" s="180"/>
    </row>
    <row r="214" spans="1:13" s="181" customFormat="1" ht="20.100000000000001" customHeight="1" thickBot="1" x14ac:dyDescent="0.3">
      <c r="A214" s="470">
        <f t="shared" si="22"/>
        <v>187</v>
      </c>
      <c r="B214" s="379" t="s">
        <v>538</v>
      </c>
      <c r="C214" s="278" t="s">
        <v>802</v>
      </c>
      <c r="D214" s="201" t="s">
        <v>950</v>
      </c>
      <c r="E214" s="297">
        <v>187</v>
      </c>
      <c r="F214" s="201" t="s">
        <v>189</v>
      </c>
      <c r="G214" s="269">
        <v>1</v>
      </c>
      <c r="H214" s="269">
        <v>211.97</v>
      </c>
      <c r="I214" s="342">
        <f t="shared" si="21"/>
        <v>211.97</v>
      </c>
      <c r="J214" s="363"/>
      <c r="L214" s="180"/>
      <c r="M214" s="180"/>
    </row>
    <row r="215" spans="1:13" s="181" customFormat="1" ht="24.9" customHeight="1" thickBot="1" x14ac:dyDescent="0.3">
      <c r="A215" s="475"/>
      <c r="B215" s="173"/>
      <c r="C215" s="522" t="s">
        <v>1254</v>
      </c>
      <c r="D215" s="523"/>
      <c r="E215" s="523"/>
      <c r="F215" s="523"/>
      <c r="G215" s="523"/>
      <c r="H215" s="524"/>
      <c r="I215" s="346">
        <f>SUM(I190:I214)</f>
        <v>6540.1395999999986</v>
      </c>
      <c r="J215" s="483">
        <f>I215</f>
        <v>6540.1395999999986</v>
      </c>
      <c r="L215" s="180"/>
      <c r="M215" s="180"/>
    </row>
    <row r="216" spans="1:13" s="181" customFormat="1" ht="20.100000000000001" customHeight="1" x14ac:dyDescent="0.25">
      <c r="A216" s="185"/>
      <c r="B216" s="175" t="s">
        <v>1230</v>
      </c>
      <c r="C216" s="176"/>
      <c r="D216" s="178"/>
      <c r="E216" s="279"/>
      <c r="F216" s="178"/>
      <c r="G216" s="108"/>
      <c r="H216" s="108"/>
      <c r="I216" s="347"/>
      <c r="J216" s="361"/>
      <c r="L216" s="180"/>
      <c r="M216" s="180"/>
    </row>
    <row r="217" spans="1:13" s="181" customFormat="1" ht="20.100000000000001" customHeight="1" x14ac:dyDescent="0.25">
      <c r="A217" s="206">
        <f>A214+1</f>
        <v>188</v>
      </c>
      <c r="B217" s="266" t="s">
        <v>515</v>
      </c>
      <c r="C217" s="207" t="s">
        <v>799</v>
      </c>
      <c r="D217" s="264"/>
      <c r="E217" s="291">
        <v>125</v>
      </c>
      <c r="F217" s="264" t="s">
        <v>618</v>
      </c>
      <c r="G217" s="265">
        <v>10.82</v>
      </c>
      <c r="H217" s="269">
        <v>22.97</v>
      </c>
      <c r="I217" s="341">
        <f>G217*H217</f>
        <v>248.53539999999998</v>
      </c>
      <c r="J217" s="362"/>
      <c r="L217" s="180"/>
      <c r="M217" s="180"/>
    </row>
    <row r="218" spans="1:13" s="181" customFormat="1" ht="20.100000000000001" customHeight="1" x14ac:dyDescent="0.25">
      <c r="A218" s="206">
        <f>A217+1</f>
        <v>189</v>
      </c>
      <c r="B218" s="266" t="s">
        <v>619</v>
      </c>
      <c r="C218" s="271" t="s">
        <v>803</v>
      </c>
      <c r="D218" s="264"/>
      <c r="E218" s="291">
        <v>188</v>
      </c>
      <c r="F218" s="264" t="s">
        <v>189</v>
      </c>
      <c r="G218" s="265">
        <v>1</v>
      </c>
      <c r="H218" s="294">
        <v>121.91</v>
      </c>
      <c r="I218" s="341">
        <f t="shared" ref="I218:I242" si="23">G218*H218</f>
        <v>121.91</v>
      </c>
      <c r="J218" s="362"/>
      <c r="L218" s="180"/>
      <c r="M218" s="180"/>
    </row>
    <row r="219" spans="1:13" s="181" customFormat="1" ht="20.100000000000001" customHeight="1" x14ac:dyDescent="0.25">
      <c r="A219" s="206">
        <f t="shared" ref="A219:A242" si="24">A218+1</f>
        <v>190</v>
      </c>
      <c r="B219" s="266" t="s">
        <v>516</v>
      </c>
      <c r="C219" s="207" t="s">
        <v>800</v>
      </c>
      <c r="D219" s="264"/>
      <c r="E219" s="291">
        <v>165</v>
      </c>
      <c r="F219" s="264" t="s">
        <v>189</v>
      </c>
      <c r="G219" s="265">
        <v>1</v>
      </c>
      <c r="H219" s="294">
        <v>147.68</v>
      </c>
      <c r="I219" s="341">
        <f t="shared" si="23"/>
        <v>147.68</v>
      </c>
      <c r="J219" s="362"/>
      <c r="L219" s="180"/>
      <c r="M219" s="180"/>
    </row>
    <row r="220" spans="1:13" s="181" customFormat="1" ht="20.100000000000001" customHeight="1" x14ac:dyDescent="0.25">
      <c r="A220" s="206">
        <f t="shared" si="24"/>
        <v>191</v>
      </c>
      <c r="B220" s="266" t="s">
        <v>620</v>
      </c>
      <c r="C220" s="207" t="s">
        <v>804</v>
      </c>
      <c r="D220" s="264"/>
      <c r="E220" s="291">
        <v>189</v>
      </c>
      <c r="F220" s="264" t="s">
        <v>189</v>
      </c>
      <c r="G220" s="265">
        <v>1</v>
      </c>
      <c r="H220" s="294">
        <v>149.82</v>
      </c>
      <c r="I220" s="341">
        <f t="shared" si="23"/>
        <v>149.82</v>
      </c>
      <c r="J220" s="362"/>
      <c r="L220" s="180"/>
      <c r="M220" s="180"/>
    </row>
    <row r="221" spans="1:13" s="181" customFormat="1" ht="20.100000000000001" customHeight="1" x14ac:dyDescent="0.25">
      <c r="A221" s="206">
        <f t="shared" si="24"/>
        <v>192</v>
      </c>
      <c r="B221" s="266" t="s">
        <v>517</v>
      </c>
      <c r="C221" s="207" t="s">
        <v>801</v>
      </c>
      <c r="D221" s="264" t="s">
        <v>1192</v>
      </c>
      <c r="E221" s="291">
        <v>128</v>
      </c>
      <c r="F221" s="264" t="s">
        <v>466</v>
      </c>
      <c r="G221" s="265">
        <v>40</v>
      </c>
      <c r="H221" s="295">
        <v>1.99</v>
      </c>
      <c r="I221" s="341">
        <f t="shared" si="23"/>
        <v>79.599999999999994</v>
      </c>
      <c r="J221" s="362"/>
      <c r="L221" s="180"/>
      <c r="M221" s="180"/>
    </row>
    <row r="222" spans="1:13" s="181" customFormat="1" ht="20.100000000000001" customHeight="1" x14ac:dyDescent="0.25">
      <c r="A222" s="206">
        <f t="shared" si="24"/>
        <v>193</v>
      </c>
      <c r="B222" s="266" t="s">
        <v>621</v>
      </c>
      <c r="C222" s="271" t="s">
        <v>1173</v>
      </c>
      <c r="D222" s="264"/>
      <c r="E222" s="291">
        <v>190</v>
      </c>
      <c r="F222" s="264" t="s">
        <v>189</v>
      </c>
      <c r="G222" s="265">
        <v>1</v>
      </c>
      <c r="H222" s="330">
        <v>25.8</v>
      </c>
      <c r="I222" s="341">
        <f t="shared" si="23"/>
        <v>25.8</v>
      </c>
      <c r="J222" s="362"/>
      <c r="L222" s="180"/>
      <c r="M222" s="180"/>
    </row>
    <row r="223" spans="1:13" s="181" customFormat="1" ht="20.100000000000001" customHeight="1" x14ac:dyDescent="0.25">
      <c r="A223" s="206">
        <f t="shared" si="24"/>
        <v>194</v>
      </c>
      <c r="B223" s="266" t="s">
        <v>523</v>
      </c>
      <c r="C223" s="271" t="s">
        <v>1162</v>
      </c>
      <c r="D223" s="264"/>
      <c r="E223" s="291">
        <v>171</v>
      </c>
      <c r="F223" s="264" t="s">
        <v>189</v>
      </c>
      <c r="G223" s="265">
        <v>1</v>
      </c>
      <c r="H223" s="331">
        <v>41.64</v>
      </c>
      <c r="I223" s="341">
        <f t="shared" si="23"/>
        <v>41.64</v>
      </c>
      <c r="J223" s="362"/>
      <c r="L223" s="180"/>
      <c r="M223" s="180"/>
    </row>
    <row r="224" spans="1:13" s="181" customFormat="1" ht="20.100000000000001" customHeight="1" x14ac:dyDescent="0.25">
      <c r="A224" s="206">
        <f t="shared" si="24"/>
        <v>195</v>
      </c>
      <c r="B224" s="266" t="s">
        <v>522</v>
      </c>
      <c r="C224" s="207" t="s">
        <v>1161</v>
      </c>
      <c r="D224" s="264"/>
      <c r="E224" s="291">
        <v>170</v>
      </c>
      <c r="F224" s="264" t="s">
        <v>189</v>
      </c>
      <c r="G224" s="265">
        <v>2</v>
      </c>
      <c r="H224" s="330">
        <v>109.77</v>
      </c>
      <c r="I224" s="341">
        <f t="shared" si="23"/>
        <v>219.54</v>
      </c>
      <c r="J224" s="362"/>
      <c r="L224" s="180"/>
      <c r="M224" s="180"/>
    </row>
    <row r="225" spans="1:13" s="181" customFormat="1" ht="20.100000000000001" customHeight="1" x14ac:dyDescent="0.25">
      <c r="A225" s="206">
        <f t="shared" si="24"/>
        <v>196</v>
      </c>
      <c r="B225" s="266" t="s">
        <v>524</v>
      </c>
      <c r="C225" s="207" t="s">
        <v>1163</v>
      </c>
      <c r="D225" s="264"/>
      <c r="E225" s="291">
        <v>172</v>
      </c>
      <c r="F225" s="264" t="s">
        <v>189</v>
      </c>
      <c r="G225" s="265">
        <v>2</v>
      </c>
      <c r="H225" s="330">
        <v>103.62</v>
      </c>
      <c r="I225" s="341">
        <f t="shared" si="23"/>
        <v>207.24</v>
      </c>
      <c r="J225" s="362"/>
      <c r="L225" s="180"/>
      <c r="M225" s="180"/>
    </row>
    <row r="226" spans="1:13" s="181" customFormat="1" ht="20.100000000000001" customHeight="1" x14ac:dyDescent="0.25">
      <c r="A226" s="206">
        <f t="shared" si="24"/>
        <v>197</v>
      </c>
      <c r="B226" s="266" t="s">
        <v>622</v>
      </c>
      <c r="C226" s="207" t="s">
        <v>805</v>
      </c>
      <c r="D226" s="264"/>
      <c r="E226" s="291">
        <v>191</v>
      </c>
      <c r="F226" s="264" t="s">
        <v>189</v>
      </c>
      <c r="G226" s="265">
        <v>1</v>
      </c>
      <c r="H226" s="330">
        <v>25</v>
      </c>
      <c r="I226" s="341">
        <f t="shared" si="23"/>
        <v>25</v>
      </c>
      <c r="J226" s="362"/>
      <c r="L226" s="180"/>
      <c r="M226" s="180"/>
    </row>
    <row r="227" spans="1:13" s="181" customFormat="1" ht="20.100000000000001" customHeight="1" x14ac:dyDescent="0.25">
      <c r="A227" s="206">
        <f t="shared" si="24"/>
        <v>198</v>
      </c>
      <c r="B227" s="266" t="s">
        <v>623</v>
      </c>
      <c r="C227" s="207" t="s">
        <v>805</v>
      </c>
      <c r="D227" s="264"/>
      <c r="E227" s="291">
        <v>192</v>
      </c>
      <c r="F227" s="264" t="s">
        <v>189</v>
      </c>
      <c r="G227" s="265">
        <v>1</v>
      </c>
      <c r="H227" s="331">
        <v>30</v>
      </c>
      <c r="I227" s="341">
        <f t="shared" si="23"/>
        <v>30</v>
      </c>
      <c r="J227" s="362"/>
      <c r="L227" s="180"/>
      <c r="M227" s="180"/>
    </row>
    <row r="228" spans="1:13" s="181" customFormat="1" ht="20.100000000000001" customHeight="1" x14ac:dyDescent="0.25">
      <c r="A228" s="206">
        <f t="shared" si="24"/>
        <v>199</v>
      </c>
      <c r="B228" s="266" t="s">
        <v>624</v>
      </c>
      <c r="C228" s="290" t="s">
        <v>1224</v>
      </c>
      <c r="D228" s="264" t="s">
        <v>900</v>
      </c>
      <c r="E228" s="291">
        <v>193</v>
      </c>
      <c r="F228" s="264" t="s">
        <v>189</v>
      </c>
      <c r="G228" s="265">
        <v>1</v>
      </c>
      <c r="H228" s="332">
        <v>150</v>
      </c>
      <c r="I228" s="341">
        <f t="shared" si="23"/>
        <v>150</v>
      </c>
      <c r="J228" s="362"/>
      <c r="L228" s="180"/>
      <c r="M228" s="180"/>
    </row>
    <row r="229" spans="1:13" s="181" customFormat="1" ht="20.100000000000001" customHeight="1" x14ac:dyDescent="0.25">
      <c r="A229" s="206">
        <f t="shared" si="24"/>
        <v>200</v>
      </c>
      <c r="B229" s="266" t="s">
        <v>625</v>
      </c>
      <c r="C229" s="207"/>
      <c r="D229" s="264" t="s">
        <v>900</v>
      </c>
      <c r="E229" s="291">
        <v>194</v>
      </c>
      <c r="F229" s="264" t="s">
        <v>189</v>
      </c>
      <c r="G229" s="265">
        <v>1</v>
      </c>
      <c r="H229" s="331">
        <v>145</v>
      </c>
      <c r="I229" s="341">
        <f t="shared" si="23"/>
        <v>145</v>
      </c>
      <c r="J229" s="362"/>
      <c r="L229" s="180"/>
      <c r="M229" s="180"/>
    </row>
    <row r="230" spans="1:13" s="181" customFormat="1" ht="20.100000000000001" customHeight="1" x14ac:dyDescent="0.25">
      <c r="A230" s="206">
        <f t="shared" si="24"/>
        <v>201</v>
      </c>
      <c r="B230" s="266" t="s">
        <v>626</v>
      </c>
      <c r="C230" s="207"/>
      <c r="D230" s="264" t="s">
        <v>900</v>
      </c>
      <c r="E230" s="291">
        <v>195</v>
      </c>
      <c r="F230" s="264" t="s">
        <v>189</v>
      </c>
      <c r="G230" s="265">
        <v>1</v>
      </c>
      <c r="H230" s="331">
        <v>540</v>
      </c>
      <c r="I230" s="341">
        <f t="shared" si="23"/>
        <v>540</v>
      </c>
      <c r="J230" s="362"/>
      <c r="L230" s="180"/>
      <c r="M230" s="180"/>
    </row>
    <row r="231" spans="1:13" s="181" customFormat="1" ht="20.100000000000001" customHeight="1" x14ac:dyDescent="0.25">
      <c r="A231" s="206">
        <f t="shared" si="24"/>
        <v>202</v>
      </c>
      <c r="B231" s="266" t="s">
        <v>627</v>
      </c>
      <c r="C231" s="207" t="s">
        <v>805</v>
      </c>
      <c r="D231" s="264"/>
      <c r="E231" s="291">
        <v>196</v>
      </c>
      <c r="F231" s="264" t="s">
        <v>189</v>
      </c>
      <c r="G231" s="265">
        <v>2</v>
      </c>
      <c r="H231" s="331">
        <v>93.92</v>
      </c>
      <c r="I231" s="341">
        <f t="shared" si="23"/>
        <v>187.84</v>
      </c>
      <c r="J231" s="362"/>
      <c r="L231" s="180"/>
      <c r="M231" s="180"/>
    </row>
    <row r="232" spans="1:13" s="181" customFormat="1" ht="20.100000000000001" customHeight="1" x14ac:dyDescent="0.25">
      <c r="A232" s="206">
        <f t="shared" si="24"/>
        <v>203</v>
      </c>
      <c r="B232" s="266" t="s">
        <v>628</v>
      </c>
      <c r="C232" s="207" t="s">
        <v>805</v>
      </c>
      <c r="D232" s="264"/>
      <c r="E232" s="291">
        <v>197</v>
      </c>
      <c r="F232" s="264" t="s">
        <v>465</v>
      </c>
      <c r="G232" s="265">
        <v>10</v>
      </c>
      <c r="H232" s="331">
        <v>18.350000000000001</v>
      </c>
      <c r="I232" s="341">
        <f t="shared" si="23"/>
        <v>183.5</v>
      </c>
      <c r="J232" s="362"/>
      <c r="L232" s="180"/>
      <c r="M232" s="180"/>
    </row>
    <row r="233" spans="1:13" s="181" customFormat="1" ht="20.100000000000001" customHeight="1" x14ac:dyDescent="0.25">
      <c r="A233" s="206">
        <f t="shared" si="24"/>
        <v>204</v>
      </c>
      <c r="B233" s="266" t="s">
        <v>629</v>
      </c>
      <c r="C233" s="274" t="s">
        <v>1158</v>
      </c>
      <c r="D233" s="264" t="s">
        <v>805</v>
      </c>
      <c r="E233" s="291">
        <v>167</v>
      </c>
      <c r="F233" s="264" t="s">
        <v>465</v>
      </c>
      <c r="G233" s="265">
        <v>5</v>
      </c>
      <c r="H233" s="331">
        <v>19.989999999999998</v>
      </c>
      <c r="I233" s="341">
        <f t="shared" si="23"/>
        <v>99.949999999999989</v>
      </c>
      <c r="J233" s="362"/>
      <c r="L233" s="180"/>
      <c r="M233" s="180"/>
    </row>
    <row r="234" spans="1:13" s="181" customFormat="1" ht="20.100000000000001" customHeight="1" x14ac:dyDescent="0.25">
      <c r="A234" s="206">
        <f t="shared" si="24"/>
        <v>205</v>
      </c>
      <c r="B234" s="266" t="s">
        <v>630</v>
      </c>
      <c r="C234" s="292"/>
      <c r="D234" s="219" t="s">
        <v>805</v>
      </c>
      <c r="E234" s="291">
        <v>198</v>
      </c>
      <c r="F234" s="264" t="s">
        <v>465</v>
      </c>
      <c r="G234" s="265">
        <v>80</v>
      </c>
      <c r="H234" s="331">
        <v>15.81</v>
      </c>
      <c r="I234" s="341">
        <f t="shared" si="23"/>
        <v>1264.8</v>
      </c>
      <c r="J234" s="362"/>
      <c r="L234" s="180"/>
      <c r="M234" s="180"/>
    </row>
    <row r="235" spans="1:13" s="181" customFormat="1" ht="20.100000000000001" customHeight="1" x14ac:dyDescent="0.25">
      <c r="A235" s="206">
        <f t="shared" si="24"/>
        <v>206</v>
      </c>
      <c r="B235" s="266" t="s">
        <v>631</v>
      </c>
      <c r="C235" s="292"/>
      <c r="D235" s="219" t="s">
        <v>805</v>
      </c>
      <c r="E235" s="291">
        <v>199</v>
      </c>
      <c r="F235" s="264" t="s">
        <v>465</v>
      </c>
      <c r="G235" s="265">
        <v>5</v>
      </c>
      <c r="H235" s="330">
        <v>11.73</v>
      </c>
      <c r="I235" s="341">
        <f t="shared" si="23"/>
        <v>58.650000000000006</v>
      </c>
      <c r="J235" s="362"/>
      <c r="L235" s="180"/>
      <c r="M235" s="180"/>
    </row>
    <row r="236" spans="1:13" s="181" customFormat="1" ht="20.100000000000001" customHeight="1" x14ac:dyDescent="0.25">
      <c r="A236" s="206">
        <f t="shared" si="24"/>
        <v>207</v>
      </c>
      <c r="B236" s="266" t="s">
        <v>1227</v>
      </c>
      <c r="C236" s="292"/>
      <c r="D236" s="219" t="s">
        <v>805</v>
      </c>
      <c r="E236" s="291">
        <v>200</v>
      </c>
      <c r="F236" s="264" t="s">
        <v>465</v>
      </c>
      <c r="G236" s="265">
        <v>17</v>
      </c>
      <c r="H236" s="330">
        <v>0.45</v>
      </c>
      <c r="I236" s="341">
        <f t="shared" si="23"/>
        <v>7.65</v>
      </c>
      <c r="J236" s="362"/>
      <c r="L236" s="180"/>
      <c r="M236" s="180"/>
    </row>
    <row r="237" spans="1:13" s="181" customFormat="1" ht="20.100000000000001" customHeight="1" x14ac:dyDescent="0.25">
      <c r="A237" s="206">
        <f t="shared" si="24"/>
        <v>208</v>
      </c>
      <c r="B237" s="266" t="s">
        <v>632</v>
      </c>
      <c r="C237" s="292"/>
      <c r="D237" s="264" t="s">
        <v>805</v>
      </c>
      <c r="E237" s="291">
        <v>201</v>
      </c>
      <c r="F237" s="264" t="s">
        <v>189</v>
      </c>
      <c r="G237" s="265">
        <v>14</v>
      </c>
      <c r="H237" s="330">
        <v>13.5</v>
      </c>
      <c r="I237" s="341">
        <f t="shared" si="23"/>
        <v>189</v>
      </c>
      <c r="J237" s="362"/>
      <c r="L237" s="180"/>
      <c r="M237" s="180"/>
    </row>
    <row r="238" spans="1:13" s="181" customFormat="1" ht="20.100000000000001" customHeight="1" x14ac:dyDescent="0.25">
      <c r="A238" s="206">
        <f t="shared" si="24"/>
        <v>209</v>
      </c>
      <c r="B238" s="266" t="s">
        <v>633</v>
      </c>
      <c r="C238" s="292"/>
      <c r="D238" s="264" t="s">
        <v>805</v>
      </c>
      <c r="E238" s="291">
        <v>202</v>
      </c>
      <c r="F238" s="264" t="s">
        <v>189</v>
      </c>
      <c r="G238" s="265">
        <v>3</v>
      </c>
      <c r="H238" s="330">
        <v>0.22</v>
      </c>
      <c r="I238" s="341">
        <f t="shared" si="23"/>
        <v>0.66</v>
      </c>
      <c r="J238" s="362"/>
      <c r="L238" s="180"/>
      <c r="M238" s="180"/>
    </row>
    <row r="239" spans="1:13" s="181" customFormat="1" ht="20.100000000000001" customHeight="1" x14ac:dyDescent="0.25">
      <c r="A239" s="206">
        <f t="shared" si="24"/>
        <v>210</v>
      </c>
      <c r="B239" s="266" t="s">
        <v>634</v>
      </c>
      <c r="C239" s="275" t="s">
        <v>1174</v>
      </c>
      <c r="D239" s="264" t="s">
        <v>806</v>
      </c>
      <c r="E239" s="291">
        <v>203</v>
      </c>
      <c r="F239" s="264" t="s">
        <v>189</v>
      </c>
      <c r="G239" s="265">
        <v>1</v>
      </c>
      <c r="H239" s="333">
        <v>600</v>
      </c>
      <c r="I239" s="341">
        <f t="shared" si="23"/>
        <v>600</v>
      </c>
      <c r="J239" s="362"/>
      <c r="L239" s="180"/>
      <c r="M239" s="180"/>
    </row>
    <row r="240" spans="1:13" s="181" customFormat="1" ht="20.100000000000001" customHeight="1" x14ac:dyDescent="0.25">
      <c r="A240" s="206">
        <f t="shared" si="24"/>
        <v>211</v>
      </c>
      <c r="B240" s="266" t="s">
        <v>635</v>
      </c>
      <c r="C240" s="274" t="s">
        <v>1175</v>
      </c>
      <c r="D240" s="264"/>
      <c r="E240" s="291">
        <v>204</v>
      </c>
      <c r="F240" s="264" t="s">
        <v>465</v>
      </c>
      <c r="G240" s="265">
        <v>20</v>
      </c>
      <c r="H240" s="330">
        <v>2.78</v>
      </c>
      <c r="I240" s="341">
        <f t="shared" si="23"/>
        <v>55.599999999999994</v>
      </c>
      <c r="J240" s="362"/>
      <c r="L240" s="180"/>
      <c r="M240" s="180"/>
    </row>
    <row r="241" spans="1:13" s="181" customFormat="1" ht="20.100000000000001" customHeight="1" x14ac:dyDescent="0.25">
      <c r="A241" s="206">
        <f t="shared" si="24"/>
        <v>212</v>
      </c>
      <c r="B241" s="266" t="s">
        <v>1147</v>
      </c>
      <c r="C241" s="207" t="s">
        <v>1172</v>
      </c>
      <c r="D241" s="264" t="s">
        <v>1171</v>
      </c>
      <c r="E241" s="291">
        <v>186</v>
      </c>
      <c r="F241" s="264" t="s">
        <v>465</v>
      </c>
      <c r="G241" s="265">
        <v>75</v>
      </c>
      <c r="H241" s="331">
        <v>5.33</v>
      </c>
      <c r="I241" s="341">
        <f t="shared" si="23"/>
        <v>399.75</v>
      </c>
      <c r="J241" s="362"/>
      <c r="L241" s="180"/>
      <c r="M241" s="180"/>
    </row>
    <row r="242" spans="1:13" s="181" customFormat="1" ht="20.100000000000001" customHeight="1" thickBot="1" x14ac:dyDescent="0.3">
      <c r="A242" s="206">
        <f t="shared" si="24"/>
        <v>213</v>
      </c>
      <c r="B242" s="268" t="s">
        <v>636</v>
      </c>
      <c r="C242" s="317"/>
      <c r="D242" s="201"/>
      <c r="E242" s="291">
        <v>205</v>
      </c>
      <c r="F242" s="201" t="s">
        <v>189</v>
      </c>
      <c r="G242" s="269">
        <v>1</v>
      </c>
      <c r="H242" s="334">
        <v>1200</v>
      </c>
      <c r="I242" s="342">
        <f t="shared" si="23"/>
        <v>1200</v>
      </c>
      <c r="J242" s="363"/>
      <c r="L242" s="180"/>
      <c r="M242" s="180"/>
    </row>
    <row r="243" spans="1:13" s="181" customFormat="1" ht="24.9" customHeight="1" thickBot="1" x14ac:dyDescent="0.3">
      <c r="A243" s="184"/>
      <c r="B243" s="173"/>
      <c r="C243" s="525" t="s">
        <v>1252</v>
      </c>
      <c r="D243" s="523"/>
      <c r="E243" s="523"/>
      <c r="F243" s="523"/>
      <c r="G243" s="523"/>
      <c r="H243" s="524"/>
      <c r="I243" s="346">
        <f>SUM(I217:I242)</f>
        <v>6379.1653999999999</v>
      </c>
      <c r="J243" s="364">
        <f>I243</f>
        <v>6379.1653999999999</v>
      </c>
      <c r="L243" s="180"/>
      <c r="M243" s="180"/>
    </row>
    <row r="244" spans="1:13" s="181" customFormat="1" ht="20.100000000000001" customHeight="1" x14ac:dyDescent="0.25">
      <c r="A244" s="185"/>
      <c r="B244" s="175" t="s">
        <v>1253</v>
      </c>
      <c r="C244" s="273"/>
      <c r="D244" s="178"/>
      <c r="E244" s="279"/>
      <c r="F244" s="178"/>
      <c r="G244" s="108"/>
      <c r="H244" s="108"/>
      <c r="I244" s="347"/>
      <c r="J244" s="361"/>
      <c r="L244" s="180"/>
      <c r="M244" s="180"/>
    </row>
    <row r="245" spans="1:13" s="181" customFormat="1" ht="45" customHeight="1" x14ac:dyDescent="0.25">
      <c r="A245" s="185">
        <f>A242+1</f>
        <v>214</v>
      </c>
      <c r="B245" s="174" t="s">
        <v>663</v>
      </c>
      <c r="C245" s="405" t="s">
        <v>902</v>
      </c>
      <c r="D245" s="406" t="s">
        <v>920</v>
      </c>
      <c r="E245" s="279">
        <v>206</v>
      </c>
      <c r="F245" s="178" t="s">
        <v>681</v>
      </c>
      <c r="G245" s="108">
        <v>1</v>
      </c>
      <c r="H245" s="108">
        <v>18000</v>
      </c>
      <c r="I245" s="344">
        <f>G245*H245</f>
        <v>18000</v>
      </c>
      <c r="J245" s="362"/>
      <c r="L245" s="180"/>
      <c r="M245" s="180"/>
    </row>
    <row r="246" spans="1:13" s="181" customFormat="1" ht="54.9" customHeight="1" x14ac:dyDescent="0.25">
      <c r="A246" s="185">
        <f>A245+1</f>
        <v>215</v>
      </c>
      <c r="B246" s="174" t="s">
        <v>664</v>
      </c>
      <c r="C246" s="405" t="s">
        <v>903</v>
      </c>
      <c r="D246" s="406" t="s">
        <v>921</v>
      </c>
      <c r="E246" s="279">
        <v>207</v>
      </c>
      <c r="F246" s="178" t="s">
        <v>681</v>
      </c>
      <c r="G246" s="108">
        <v>4</v>
      </c>
      <c r="H246" s="108">
        <v>753.65</v>
      </c>
      <c r="I246" s="344">
        <f t="shared" ref="I246:I262" si="25">G246*H246</f>
        <v>3014.6</v>
      </c>
      <c r="J246" s="362"/>
      <c r="L246" s="180"/>
      <c r="M246" s="180"/>
    </row>
    <row r="247" spans="1:13" s="181" customFormat="1" ht="54.9" customHeight="1" x14ac:dyDescent="0.25">
      <c r="A247" s="185">
        <f t="shared" ref="A247:A262" si="26">A246+1</f>
        <v>216</v>
      </c>
      <c r="B247" s="174" t="s">
        <v>665</v>
      </c>
      <c r="C247" s="405" t="s">
        <v>904</v>
      </c>
      <c r="D247" s="406" t="s">
        <v>921</v>
      </c>
      <c r="E247" s="279">
        <v>208</v>
      </c>
      <c r="F247" s="178" t="s">
        <v>681</v>
      </c>
      <c r="G247" s="108">
        <v>7</v>
      </c>
      <c r="H247" s="108">
        <v>758.8</v>
      </c>
      <c r="I247" s="344">
        <f t="shared" si="25"/>
        <v>5311.5999999999995</v>
      </c>
      <c r="J247" s="362"/>
      <c r="L247" s="180"/>
      <c r="M247" s="180"/>
    </row>
    <row r="248" spans="1:13" s="181" customFormat="1" ht="54.9" customHeight="1" x14ac:dyDescent="0.25">
      <c r="A248" s="185">
        <f t="shared" si="26"/>
        <v>217</v>
      </c>
      <c r="B248" s="174" t="s">
        <v>666</v>
      </c>
      <c r="C248" s="405" t="s">
        <v>905</v>
      </c>
      <c r="D248" s="406" t="s">
        <v>921</v>
      </c>
      <c r="E248" s="279">
        <v>209</v>
      </c>
      <c r="F248" s="178" t="s">
        <v>681</v>
      </c>
      <c r="G248" s="108">
        <v>6</v>
      </c>
      <c r="H248" s="108">
        <v>763.95</v>
      </c>
      <c r="I248" s="344">
        <f t="shared" si="25"/>
        <v>4583.7000000000007</v>
      </c>
      <c r="J248" s="362"/>
      <c r="L248" s="180"/>
      <c r="M248" s="180"/>
    </row>
    <row r="249" spans="1:13" s="181" customFormat="1" ht="54.9" customHeight="1" x14ac:dyDescent="0.25">
      <c r="A249" s="185">
        <f t="shared" si="26"/>
        <v>218</v>
      </c>
      <c r="B249" s="174" t="s">
        <v>667</v>
      </c>
      <c r="C249" s="405" t="s">
        <v>906</v>
      </c>
      <c r="D249" s="406" t="s">
        <v>921</v>
      </c>
      <c r="E249" s="279">
        <v>210</v>
      </c>
      <c r="F249" s="178" t="s">
        <v>681</v>
      </c>
      <c r="G249" s="108">
        <v>3</v>
      </c>
      <c r="H249" s="108">
        <v>779.25</v>
      </c>
      <c r="I249" s="344">
        <f t="shared" si="25"/>
        <v>2337.75</v>
      </c>
      <c r="J249" s="362"/>
      <c r="L249" s="180"/>
      <c r="M249" s="180"/>
    </row>
    <row r="250" spans="1:13" s="181" customFormat="1" ht="36" customHeight="1" x14ac:dyDescent="0.25">
      <c r="A250" s="185">
        <f t="shared" si="26"/>
        <v>219</v>
      </c>
      <c r="B250" s="174" t="s">
        <v>668</v>
      </c>
      <c r="C250" s="405" t="s">
        <v>907</v>
      </c>
      <c r="D250" s="406" t="s">
        <v>921</v>
      </c>
      <c r="E250" s="279">
        <v>211</v>
      </c>
      <c r="F250" s="178" t="s">
        <v>681</v>
      </c>
      <c r="G250" s="108">
        <v>1</v>
      </c>
      <c r="H250" s="108">
        <v>1390</v>
      </c>
      <c r="I250" s="344">
        <f t="shared" si="25"/>
        <v>1390</v>
      </c>
      <c r="J250" s="362"/>
      <c r="L250" s="180"/>
      <c r="M250" s="180"/>
    </row>
    <row r="251" spans="1:13" s="181" customFormat="1" ht="36" customHeight="1" x14ac:dyDescent="0.25">
      <c r="A251" s="185">
        <f t="shared" si="26"/>
        <v>220</v>
      </c>
      <c r="B251" s="174" t="s">
        <v>669</v>
      </c>
      <c r="C251" s="405" t="s">
        <v>908</v>
      </c>
      <c r="D251" s="406" t="s">
        <v>922</v>
      </c>
      <c r="E251" s="279">
        <v>212</v>
      </c>
      <c r="F251" s="178" t="s">
        <v>682</v>
      </c>
      <c r="G251" s="108">
        <v>1.5</v>
      </c>
      <c r="H251" s="108">
        <v>24.56</v>
      </c>
      <c r="I251" s="344">
        <f t="shared" si="25"/>
        <v>36.839999999999996</v>
      </c>
      <c r="J251" s="362"/>
      <c r="L251" s="180"/>
      <c r="M251" s="180"/>
    </row>
    <row r="252" spans="1:13" s="181" customFormat="1" ht="36" customHeight="1" x14ac:dyDescent="0.25">
      <c r="A252" s="185">
        <f t="shared" si="26"/>
        <v>221</v>
      </c>
      <c r="B252" s="174" t="s">
        <v>670</v>
      </c>
      <c r="C252" s="405" t="s">
        <v>909</v>
      </c>
      <c r="D252" s="406" t="s">
        <v>922</v>
      </c>
      <c r="E252" s="279">
        <v>213</v>
      </c>
      <c r="F252" s="178" t="s">
        <v>682</v>
      </c>
      <c r="G252" s="108">
        <v>3.5</v>
      </c>
      <c r="H252" s="108">
        <v>23.32</v>
      </c>
      <c r="I252" s="344">
        <f t="shared" si="25"/>
        <v>81.62</v>
      </c>
      <c r="J252" s="362"/>
      <c r="L252" s="180"/>
      <c r="M252" s="180"/>
    </row>
    <row r="253" spans="1:13" s="181" customFormat="1" ht="36" customHeight="1" x14ac:dyDescent="0.25">
      <c r="A253" s="185">
        <f t="shared" si="26"/>
        <v>222</v>
      </c>
      <c r="B253" s="174" t="s">
        <v>671</v>
      </c>
      <c r="C253" s="405" t="s">
        <v>910</v>
      </c>
      <c r="D253" s="406" t="s">
        <v>922</v>
      </c>
      <c r="E253" s="279">
        <v>214</v>
      </c>
      <c r="F253" s="178" t="s">
        <v>682</v>
      </c>
      <c r="G253" s="108">
        <v>4</v>
      </c>
      <c r="H253" s="108">
        <v>22.36</v>
      </c>
      <c r="I253" s="344">
        <f t="shared" si="25"/>
        <v>89.44</v>
      </c>
      <c r="J253" s="362"/>
      <c r="L253" s="180"/>
      <c r="M253" s="180"/>
    </row>
    <row r="254" spans="1:13" s="181" customFormat="1" ht="36" customHeight="1" x14ac:dyDescent="0.25">
      <c r="A254" s="185">
        <f t="shared" si="26"/>
        <v>223</v>
      </c>
      <c r="B254" s="174" t="s">
        <v>672</v>
      </c>
      <c r="C254" s="405" t="s">
        <v>911</v>
      </c>
      <c r="D254" s="406" t="s">
        <v>922</v>
      </c>
      <c r="E254" s="279">
        <v>215</v>
      </c>
      <c r="F254" s="178" t="s">
        <v>682</v>
      </c>
      <c r="G254" s="108">
        <v>7.5</v>
      </c>
      <c r="H254" s="108">
        <v>21.25</v>
      </c>
      <c r="I254" s="344">
        <f t="shared" si="25"/>
        <v>159.375</v>
      </c>
      <c r="J254" s="362"/>
      <c r="L254" s="180"/>
      <c r="M254" s="180"/>
    </row>
    <row r="255" spans="1:13" s="181" customFormat="1" ht="36" customHeight="1" x14ac:dyDescent="0.25">
      <c r="A255" s="185">
        <f t="shared" si="26"/>
        <v>224</v>
      </c>
      <c r="B255" s="174" t="s">
        <v>673</v>
      </c>
      <c r="C255" s="405" t="s">
        <v>912</v>
      </c>
      <c r="D255" s="406" t="s">
        <v>922</v>
      </c>
      <c r="E255" s="279">
        <v>216</v>
      </c>
      <c r="F255" s="178" t="s">
        <v>682</v>
      </c>
      <c r="G255" s="108">
        <v>54</v>
      </c>
      <c r="H255" s="108">
        <v>19.73</v>
      </c>
      <c r="I255" s="344">
        <f t="shared" si="25"/>
        <v>1065.42</v>
      </c>
      <c r="J255" s="362"/>
      <c r="L255" s="180"/>
      <c r="M255" s="180"/>
    </row>
    <row r="256" spans="1:13" s="181" customFormat="1" ht="36" customHeight="1" x14ac:dyDescent="0.25">
      <c r="A256" s="185">
        <f t="shared" si="26"/>
        <v>225</v>
      </c>
      <c r="B256" s="174" t="s">
        <v>674</v>
      </c>
      <c r="C256" s="405" t="s">
        <v>913</v>
      </c>
      <c r="D256" s="406" t="s">
        <v>922</v>
      </c>
      <c r="E256" s="279">
        <v>217</v>
      </c>
      <c r="F256" s="178" t="s">
        <v>682</v>
      </c>
      <c r="G256" s="108">
        <v>112</v>
      </c>
      <c r="H256" s="108">
        <v>17.53</v>
      </c>
      <c r="I256" s="344">
        <f t="shared" si="25"/>
        <v>1963.3600000000001</v>
      </c>
      <c r="J256" s="362"/>
      <c r="L256" s="180"/>
      <c r="M256" s="180"/>
    </row>
    <row r="257" spans="1:13" s="181" customFormat="1" ht="36" customHeight="1" x14ac:dyDescent="0.25">
      <c r="A257" s="185">
        <f t="shared" si="26"/>
        <v>226</v>
      </c>
      <c r="B257" s="174" t="s">
        <v>675</v>
      </c>
      <c r="C257" s="405" t="s">
        <v>914</v>
      </c>
      <c r="D257" s="406" t="s">
        <v>922</v>
      </c>
      <c r="E257" s="279">
        <v>218</v>
      </c>
      <c r="F257" s="178" t="s">
        <v>682</v>
      </c>
      <c r="G257" s="108">
        <v>61</v>
      </c>
      <c r="H257" s="108">
        <v>13.52</v>
      </c>
      <c r="I257" s="344">
        <f t="shared" si="25"/>
        <v>824.72</v>
      </c>
      <c r="J257" s="362"/>
      <c r="L257" s="180"/>
      <c r="M257" s="180"/>
    </row>
    <row r="258" spans="1:13" s="181" customFormat="1" ht="36" customHeight="1" x14ac:dyDescent="0.25">
      <c r="A258" s="185">
        <f t="shared" si="26"/>
        <v>227</v>
      </c>
      <c r="B258" s="174" t="s">
        <v>676</v>
      </c>
      <c r="C258" s="405" t="s">
        <v>915</v>
      </c>
      <c r="D258" s="406" t="s">
        <v>922</v>
      </c>
      <c r="E258" s="279">
        <v>219</v>
      </c>
      <c r="F258" s="178" t="s">
        <v>682</v>
      </c>
      <c r="G258" s="108">
        <v>112</v>
      </c>
      <c r="H258" s="108">
        <v>11.59</v>
      </c>
      <c r="I258" s="344">
        <f t="shared" si="25"/>
        <v>1298.08</v>
      </c>
      <c r="J258" s="362"/>
      <c r="L258" s="180"/>
      <c r="M258" s="180"/>
    </row>
    <row r="259" spans="1:13" s="181" customFormat="1" ht="36" customHeight="1" x14ac:dyDescent="0.25">
      <c r="A259" s="185">
        <f t="shared" si="26"/>
        <v>228</v>
      </c>
      <c r="B259" s="174" t="s">
        <v>677</v>
      </c>
      <c r="C259" s="405" t="s">
        <v>916</v>
      </c>
      <c r="D259" s="406" t="s">
        <v>922</v>
      </c>
      <c r="E259" s="279">
        <v>220</v>
      </c>
      <c r="F259" s="178" t="s">
        <v>681</v>
      </c>
      <c r="G259" s="108">
        <v>17</v>
      </c>
      <c r="H259" s="108">
        <v>122.52</v>
      </c>
      <c r="I259" s="344">
        <f t="shared" si="25"/>
        <v>2082.84</v>
      </c>
      <c r="J259" s="362"/>
      <c r="L259" s="180"/>
      <c r="M259" s="180"/>
    </row>
    <row r="260" spans="1:13" s="181" customFormat="1" ht="36" customHeight="1" x14ac:dyDescent="0.25">
      <c r="A260" s="185">
        <f t="shared" si="26"/>
        <v>229</v>
      </c>
      <c r="B260" s="174" t="s">
        <v>678</v>
      </c>
      <c r="C260" s="405" t="s">
        <v>917</v>
      </c>
      <c r="D260" s="406" t="s">
        <v>922</v>
      </c>
      <c r="E260" s="279">
        <v>221</v>
      </c>
      <c r="F260" s="178" t="s">
        <v>681</v>
      </c>
      <c r="G260" s="108">
        <v>2</v>
      </c>
      <c r="H260" s="108">
        <v>141.06</v>
      </c>
      <c r="I260" s="344">
        <f t="shared" si="25"/>
        <v>282.12</v>
      </c>
      <c r="J260" s="362"/>
      <c r="L260" s="180"/>
      <c r="M260" s="180"/>
    </row>
    <row r="261" spans="1:13" s="181" customFormat="1" ht="36" customHeight="1" x14ac:dyDescent="0.25">
      <c r="A261" s="185">
        <f t="shared" si="26"/>
        <v>230</v>
      </c>
      <c r="B261" s="174" t="s">
        <v>679</v>
      </c>
      <c r="C261" s="405" t="s">
        <v>918</v>
      </c>
      <c r="D261" s="406" t="s">
        <v>922</v>
      </c>
      <c r="E261" s="279">
        <v>222</v>
      </c>
      <c r="F261" s="178" t="s">
        <v>681</v>
      </c>
      <c r="G261" s="108">
        <v>1</v>
      </c>
      <c r="H261" s="108">
        <v>146</v>
      </c>
      <c r="I261" s="344">
        <f t="shared" si="25"/>
        <v>146</v>
      </c>
      <c r="J261" s="362"/>
      <c r="L261" s="180"/>
      <c r="M261" s="180"/>
    </row>
    <row r="262" spans="1:13" s="181" customFormat="1" ht="32.1" customHeight="1" thickBot="1" x14ac:dyDescent="0.3">
      <c r="A262" s="185">
        <f t="shared" si="26"/>
        <v>231</v>
      </c>
      <c r="B262" s="208" t="s">
        <v>680</v>
      </c>
      <c r="C262" s="407" t="s">
        <v>919</v>
      </c>
      <c r="D262" s="408" t="s">
        <v>922</v>
      </c>
      <c r="E262" s="279">
        <v>223</v>
      </c>
      <c r="F262" s="203" t="s">
        <v>681</v>
      </c>
      <c r="G262" s="198">
        <v>1</v>
      </c>
      <c r="H262" s="198">
        <v>282.66000000000003</v>
      </c>
      <c r="I262" s="345">
        <f t="shared" si="25"/>
        <v>282.66000000000003</v>
      </c>
      <c r="J262" s="363"/>
      <c r="L262" s="180"/>
      <c r="M262" s="180"/>
    </row>
    <row r="263" spans="1:13" s="181" customFormat="1" ht="24.9" customHeight="1" thickBot="1" x14ac:dyDescent="0.3">
      <c r="A263" s="184"/>
      <c r="B263" s="380"/>
      <c r="C263" s="526" t="s">
        <v>1239</v>
      </c>
      <c r="D263" s="517"/>
      <c r="E263" s="517"/>
      <c r="F263" s="517"/>
      <c r="G263" s="517"/>
      <c r="H263" s="518"/>
      <c r="I263" s="346">
        <f>SUM(I245:I262)</f>
        <v>42950.125000000007</v>
      </c>
      <c r="J263" s="357">
        <f>I263</f>
        <v>42950.125000000007</v>
      </c>
      <c r="L263" s="180"/>
      <c r="M263" s="180"/>
    </row>
    <row r="264" spans="1:13" s="181" customFormat="1" ht="20.100000000000001" customHeight="1" x14ac:dyDescent="0.25">
      <c r="A264" s="185"/>
      <c r="B264" s="175" t="s">
        <v>1249</v>
      </c>
      <c r="C264" s="273"/>
      <c r="D264" s="178"/>
      <c r="E264" s="279"/>
      <c r="F264" s="178"/>
      <c r="G264" s="108"/>
      <c r="H264" s="108"/>
      <c r="I264" s="347"/>
      <c r="J264" s="361"/>
      <c r="L264" s="180"/>
      <c r="M264" s="180"/>
    </row>
    <row r="265" spans="1:13" s="181" customFormat="1" ht="30" customHeight="1" x14ac:dyDescent="0.25">
      <c r="A265" s="185">
        <f>A262+1</f>
        <v>232</v>
      </c>
      <c r="B265" s="174" t="s">
        <v>683</v>
      </c>
      <c r="C265" s="312" t="s">
        <v>1176</v>
      </c>
      <c r="D265" s="178" t="s">
        <v>1178</v>
      </c>
      <c r="E265" s="279">
        <v>224</v>
      </c>
      <c r="F265" s="178" t="s">
        <v>681</v>
      </c>
      <c r="G265" s="108">
        <v>10</v>
      </c>
      <c r="H265" s="108">
        <v>1000</v>
      </c>
      <c r="I265" s="344">
        <f>G265*H265</f>
        <v>10000</v>
      </c>
      <c r="J265" s="362"/>
      <c r="L265" s="180"/>
      <c r="M265" s="180"/>
    </row>
    <row r="266" spans="1:13" s="181" customFormat="1" ht="20.100000000000001" customHeight="1" thickBot="1" x14ac:dyDescent="0.3">
      <c r="A266" s="197">
        <f>A265+1</f>
        <v>233</v>
      </c>
      <c r="B266" s="208" t="s">
        <v>684</v>
      </c>
      <c r="C266" s="318" t="s">
        <v>1177</v>
      </c>
      <c r="D266" s="203" t="s">
        <v>1179</v>
      </c>
      <c r="E266" s="322">
        <v>225</v>
      </c>
      <c r="F266" s="203" t="s">
        <v>682</v>
      </c>
      <c r="G266" s="198">
        <v>1000</v>
      </c>
      <c r="H266" s="198">
        <v>21.34</v>
      </c>
      <c r="I266" s="345">
        <f>G266*H266</f>
        <v>21340</v>
      </c>
      <c r="J266" s="363"/>
      <c r="L266" s="180"/>
      <c r="M266" s="180"/>
    </row>
    <row r="267" spans="1:13" s="181" customFormat="1" ht="24.9" customHeight="1" thickBot="1" x14ac:dyDescent="0.3">
      <c r="A267" s="184"/>
      <c r="B267" s="173"/>
      <c r="C267" s="522" t="s">
        <v>1251</v>
      </c>
      <c r="D267" s="523"/>
      <c r="E267" s="523"/>
      <c r="F267" s="523"/>
      <c r="G267" s="523"/>
      <c r="H267" s="524"/>
      <c r="I267" s="346">
        <f>SUM(I265:I266)</f>
        <v>31340</v>
      </c>
      <c r="J267" s="357">
        <f>I267</f>
        <v>31340</v>
      </c>
      <c r="L267" s="180"/>
      <c r="M267" s="180"/>
    </row>
    <row r="268" spans="1:13" s="181" customFormat="1" ht="20.100000000000001" customHeight="1" x14ac:dyDescent="0.25">
      <c r="A268" s="185"/>
      <c r="B268" s="175" t="s">
        <v>1250</v>
      </c>
      <c r="C268" s="273"/>
      <c r="D268" s="178"/>
      <c r="E268" s="279"/>
      <c r="F268" s="178"/>
      <c r="G268" s="108"/>
      <c r="H268" s="108"/>
      <c r="I268" s="347"/>
      <c r="J268" s="361"/>
      <c r="L268" s="180"/>
      <c r="M268" s="180"/>
    </row>
    <row r="269" spans="1:13" s="181" customFormat="1" ht="20.100000000000001" customHeight="1" x14ac:dyDescent="0.25">
      <c r="A269" s="206">
        <f>A266+1</f>
        <v>234</v>
      </c>
      <c r="B269" s="266" t="s">
        <v>685</v>
      </c>
      <c r="C269" s="405" t="s">
        <v>923</v>
      </c>
      <c r="D269" s="406" t="s">
        <v>942</v>
      </c>
      <c r="E269" s="291">
        <v>226</v>
      </c>
      <c r="F269" s="264" t="s">
        <v>681</v>
      </c>
      <c r="G269" s="265">
        <v>1</v>
      </c>
      <c r="H269" s="265">
        <v>120</v>
      </c>
      <c r="I269" s="341">
        <f>G269*H269</f>
        <v>120</v>
      </c>
      <c r="J269" s="362"/>
      <c r="L269" s="180"/>
      <c r="M269" s="180"/>
    </row>
    <row r="270" spans="1:13" s="181" customFormat="1" ht="20.100000000000001" customHeight="1" x14ac:dyDescent="0.25">
      <c r="A270" s="206">
        <f>A269+1</f>
        <v>235</v>
      </c>
      <c r="B270" s="266" t="s">
        <v>686</v>
      </c>
      <c r="C270" s="405" t="s">
        <v>924</v>
      </c>
      <c r="D270" s="406" t="s">
        <v>806</v>
      </c>
      <c r="E270" s="291">
        <v>227</v>
      </c>
      <c r="F270" s="264" t="s">
        <v>681</v>
      </c>
      <c r="G270" s="265">
        <v>1</v>
      </c>
      <c r="H270" s="265">
        <v>500</v>
      </c>
      <c r="I270" s="341">
        <f t="shared" ref="I270:I287" si="27">G270*H270</f>
        <v>500</v>
      </c>
      <c r="J270" s="362"/>
      <c r="L270" s="180"/>
      <c r="M270" s="180"/>
    </row>
    <row r="271" spans="1:13" s="181" customFormat="1" ht="20.100000000000001" customHeight="1" x14ac:dyDescent="0.25">
      <c r="A271" s="206">
        <f t="shared" ref="A271:A287" si="28">A270+1</f>
        <v>236</v>
      </c>
      <c r="B271" s="266" t="s">
        <v>687</v>
      </c>
      <c r="C271" s="405" t="s">
        <v>925</v>
      </c>
      <c r="D271" s="406" t="s">
        <v>943</v>
      </c>
      <c r="E271" s="291">
        <v>228</v>
      </c>
      <c r="F271" s="264" t="s">
        <v>681</v>
      </c>
      <c r="G271" s="265">
        <v>1</v>
      </c>
      <c r="H271" s="265">
        <v>2000</v>
      </c>
      <c r="I271" s="341">
        <f t="shared" si="27"/>
        <v>2000</v>
      </c>
      <c r="J271" s="362"/>
      <c r="L271" s="180"/>
      <c r="M271" s="180"/>
    </row>
    <row r="272" spans="1:13" s="181" customFormat="1" ht="26.25" customHeight="1" x14ac:dyDescent="0.25">
      <c r="A272" s="206">
        <f t="shared" si="28"/>
        <v>237</v>
      </c>
      <c r="B272" s="266" t="s">
        <v>688</v>
      </c>
      <c r="C272" s="405" t="s">
        <v>926</v>
      </c>
      <c r="D272" s="406" t="s">
        <v>805</v>
      </c>
      <c r="E272" s="291">
        <v>229</v>
      </c>
      <c r="F272" s="264" t="s">
        <v>682</v>
      </c>
      <c r="G272" s="265">
        <v>25</v>
      </c>
      <c r="H272" s="265">
        <v>25</v>
      </c>
      <c r="I272" s="341">
        <f t="shared" si="27"/>
        <v>625</v>
      </c>
      <c r="J272" s="362"/>
      <c r="L272" s="180"/>
      <c r="M272" s="180"/>
    </row>
    <row r="273" spans="1:13" s="181" customFormat="1" ht="29.25" customHeight="1" x14ac:dyDescent="0.25">
      <c r="A273" s="206">
        <f t="shared" si="28"/>
        <v>238</v>
      </c>
      <c r="B273" s="266" t="s">
        <v>689</v>
      </c>
      <c r="C273" s="405" t="s">
        <v>927</v>
      </c>
      <c r="D273" s="406" t="s">
        <v>944</v>
      </c>
      <c r="E273" s="291">
        <v>230</v>
      </c>
      <c r="F273" s="264" t="s">
        <v>682</v>
      </c>
      <c r="G273" s="265">
        <v>25</v>
      </c>
      <c r="H273" s="265">
        <v>16.850000000000001</v>
      </c>
      <c r="I273" s="341">
        <f t="shared" si="27"/>
        <v>421.25000000000006</v>
      </c>
      <c r="J273" s="362"/>
      <c r="L273" s="180"/>
      <c r="M273" s="180"/>
    </row>
    <row r="274" spans="1:13" s="181" customFormat="1" ht="38.25" customHeight="1" x14ac:dyDescent="0.25">
      <c r="A274" s="206">
        <f t="shared" si="28"/>
        <v>239</v>
      </c>
      <c r="B274" s="266" t="s">
        <v>690</v>
      </c>
      <c r="C274" s="405" t="s">
        <v>928</v>
      </c>
      <c r="D274" s="267" t="s">
        <v>945</v>
      </c>
      <c r="E274" s="291">
        <v>231</v>
      </c>
      <c r="F274" s="264" t="s">
        <v>682</v>
      </c>
      <c r="G274" s="265">
        <v>8</v>
      </c>
      <c r="H274" s="265">
        <v>4.5999999999999996</v>
      </c>
      <c r="I274" s="341">
        <f t="shared" si="27"/>
        <v>36.799999999999997</v>
      </c>
      <c r="J274" s="362"/>
      <c r="L274" s="180"/>
      <c r="M274" s="180"/>
    </row>
    <row r="275" spans="1:13" s="181" customFormat="1" ht="28.5" customHeight="1" x14ac:dyDescent="0.25">
      <c r="A275" s="206">
        <f t="shared" si="28"/>
        <v>240</v>
      </c>
      <c r="B275" s="266" t="s">
        <v>691</v>
      </c>
      <c r="C275" s="405" t="s">
        <v>929</v>
      </c>
      <c r="D275" s="406" t="s">
        <v>946</v>
      </c>
      <c r="E275" s="291">
        <v>232</v>
      </c>
      <c r="F275" s="264" t="s">
        <v>681</v>
      </c>
      <c r="G275" s="265">
        <v>3</v>
      </c>
      <c r="H275" s="265">
        <v>150</v>
      </c>
      <c r="I275" s="341">
        <f t="shared" si="27"/>
        <v>450</v>
      </c>
      <c r="J275" s="362"/>
      <c r="L275" s="180"/>
      <c r="M275" s="180"/>
    </row>
    <row r="276" spans="1:13" s="181" customFormat="1" ht="20.100000000000001" customHeight="1" x14ac:dyDescent="0.25">
      <c r="A276" s="206">
        <f t="shared" si="28"/>
        <v>241</v>
      </c>
      <c r="B276" s="266" t="s">
        <v>692</v>
      </c>
      <c r="C276" s="405" t="s">
        <v>930</v>
      </c>
      <c r="D276" s="406" t="s">
        <v>946</v>
      </c>
      <c r="E276" s="291">
        <v>233</v>
      </c>
      <c r="F276" s="264" t="s">
        <v>681</v>
      </c>
      <c r="G276" s="265">
        <v>6</v>
      </c>
      <c r="H276" s="265">
        <v>18</v>
      </c>
      <c r="I276" s="341">
        <f t="shared" si="27"/>
        <v>108</v>
      </c>
      <c r="J276" s="362"/>
      <c r="L276" s="180"/>
      <c r="M276" s="180"/>
    </row>
    <row r="277" spans="1:13" s="181" customFormat="1" ht="25.5" customHeight="1" x14ac:dyDescent="0.25">
      <c r="A277" s="206">
        <f t="shared" si="28"/>
        <v>242</v>
      </c>
      <c r="B277" s="266" t="s">
        <v>693</v>
      </c>
      <c r="C277" s="405" t="s">
        <v>931</v>
      </c>
      <c r="D277" s="406" t="s">
        <v>947</v>
      </c>
      <c r="E277" s="291">
        <v>234</v>
      </c>
      <c r="F277" s="264" t="s">
        <v>681</v>
      </c>
      <c r="G277" s="265">
        <v>3</v>
      </c>
      <c r="H277" s="265">
        <v>13</v>
      </c>
      <c r="I277" s="341">
        <f t="shared" si="27"/>
        <v>39</v>
      </c>
      <c r="J277" s="362"/>
      <c r="L277" s="180"/>
      <c r="M277" s="180"/>
    </row>
    <row r="278" spans="1:13" s="181" customFormat="1" ht="20.100000000000001" customHeight="1" x14ac:dyDescent="0.25">
      <c r="A278" s="206">
        <f t="shared" si="28"/>
        <v>243</v>
      </c>
      <c r="B278" s="266" t="s">
        <v>694</v>
      </c>
      <c r="C278" s="405" t="s">
        <v>932</v>
      </c>
      <c r="D278" s="406" t="s">
        <v>947</v>
      </c>
      <c r="E278" s="291">
        <v>235</v>
      </c>
      <c r="F278" s="264" t="s">
        <v>681</v>
      </c>
      <c r="G278" s="265">
        <v>3</v>
      </c>
      <c r="H278" s="265">
        <v>18</v>
      </c>
      <c r="I278" s="341">
        <f t="shared" si="27"/>
        <v>54</v>
      </c>
      <c r="J278" s="362"/>
      <c r="L278" s="180"/>
      <c r="M278" s="180"/>
    </row>
    <row r="279" spans="1:13" s="181" customFormat="1" ht="29.25" customHeight="1" x14ac:dyDescent="0.25">
      <c r="A279" s="206">
        <f t="shared" si="28"/>
        <v>244</v>
      </c>
      <c r="B279" s="266" t="s">
        <v>695</v>
      </c>
      <c r="C279" s="405" t="s">
        <v>933</v>
      </c>
      <c r="D279" s="406" t="s">
        <v>948</v>
      </c>
      <c r="E279" s="291">
        <v>236</v>
      </c>
      <c r="F279" s="264" t="s">
        <v>681</v>
      </c>
      <c r="G279" s="265">
        <v>1</v>
      </c>
      <c r="H279" s="265">
        <v>140</v>
      </c>
      <c r="I279" s="341">
        <f t="shared" si="27"/>
        <v>140</v>
      </c>
      <c r="J279" s="362"/>
      <c r="L279" s="180"/>
      <c r="M279" s="180"/>
    </row>
    <row r="280" spans="1:13" s="181" customFormat="1" ht="29.25" customHeight="1" x14ac:dyDescent="0.25">
      <c r="A280" s="206">
        <f t="shared" si="28"/>
        <v>245</v>
      </c>
      <c r="B280" s="266" t="s">
        <v>696</v>
      </c>
      <c r="C280" s="405" t="s">
        <v>934</v>
      </c>
      <c r="D280" s="406" t="s">
        <v>949</v>
      </c>
      <c r="E280" s="291">
        <v>237</v>
      </c>
      <c r="F280" s="264" t="s">
        <v>681</v>
      </c>
      <c r="G280" s="265">
        <v>3</v>
      </c>
      <c r="H280" s="265">
        <v>67.06</v>
      </c>
      <c r="I280" s="341">
        <f t="shared" si="27"/>
        <v>201.18</v>
      </c>
      <c r="J280" s="362"/>
      <c r="L280" s="180"/>
      <c r="M280" s="180"/>
    </row>
    <row r="281" spans="1:13" s="181" customFormat="1" ht="20.100000000000001" customHeight="1" x14ac:dyDescent="0.25">
      <c r="A281" s="206">
        <f t="shared" si="28"/>
        <v>246</v>
      </c>
      <c r="B281" s="266" t="s">
        <v>697</v>
      </c>
      <c r="C281" s="405" t="s">
        <v>935</v>
      </c>
      <c r="D281" s="406" t="s">
        <v>948</v>
      </c>
      <c r="E281" s="291">
        <v>238</v>
      </c>
      <c r="F281" s="264" t="s">
        <v>681</v>
      </c>
      <c r="G281" s="265">
        <v>16</v>
      </c>
      <c r="H281" s="265">
        <v>29.01</v>
      </c>
      <c r="I281" s="341">
        <f t="shared" si="27"/>
        <v>464.16</v>
      </c>
      <c r="J281" s="362"/>
      <c r="L281" s="180"/>
      <c r="M281" s="180"/>
    </row>
    <row r="282" spans="1:13" s="181" customFormat="1" ht="20.100000000000001" customHeight="1" x14ac:dyDescent="0.25">
      <c r="A282" s="206">
        <f t="shared" si="28"/>
        <v>247</v>
      </c>
      <c r="B282" s="266" t="s">
        <v>698</v>
      </c>
      <c r="C282" s="405" t="s">
        <v>936</v>
      </c>
      <c r="D282" s="406" t="s">
        <v>948</v>
      </c>
      <c r="E282" s="291">
        <v>239</v>
      </c>
      <c r="F282" s="264" t="s">
        <v>681</v>
      </c>
      <c r="G282" s="265">
        <v>4</v>
      </c>
      <c r="H282" s="265">
        <v>20.16</v>
      </c>
      <c r="I282" s="341">
        <f t="shared" si="27"/>
        <v>80.64</v>
      </c>
      <c r="J282" s="362"/>
      <c r="L282" s="180"/>
      <c r="M282" s="180"/>
    </row>
    <row r="283" spans="1:13" s="181" customFormat="1" ht="20.100000000000001" customHeight="1" x14ac:dyDescent="0.25">
      <c r="A283" s="206">
        <f t="shared" si="28"/>
        <v>248</v>
      </c>
      <c r="B283" s="266" t="s">
        <v>699</v>
      </c>
      <c r="C283" s="405" t="s">
        <v>937</v>
      </c>
      <c r="D283" s="406" t="s">
        <v>949</v>
      </c>
      <c r="E283" s="291">
        <v>240</v>
      </c>
      <c r="F283" s="264" t="s">
        <v>681</v>
      </c>
      <c r="G283" s="265">
        <v>2</v>
      </c>
      <c r="H283" s="265">
        <v>79.459999999999994</v>
      </c>
      <c r="I283" s="341">
        <f t="shared" si="27"/>
        <v>158.91999999999999</v>
      </c>
      <c r="J283" s="362"/>
      <c r="L283" s="180"/>
      <c r="M283" s="180"/>
    </row>
    <row r="284" spans="1:13" s="181" customFormat="1" ht="20.100000000000001" customHeight="1" x14ac:dyDescent="0.25">
      <c r="A284" s="206">
        <f t="shared" si="28"/>
        <v>249</v>
      </c>
      <c r="B284" s="266" t="s">
        <v>700</v>
      </c>
      <c r="C284" s="405" t="s">
        <v>938</v>
      </c>
      <c r="D284" s="406" t="s">
        <v>949</v>
      </c>
      <c r="E284" s="291">
        <v>241</v>
      </c>
      <c r="F284" s="264" t="s">
        <v>681</v>
      </c>
      <c r="G284" s="265">
        <v>4</v>
      </c>
      <c r="H284" s="265">
        <v>64.97</v>
      </c>
      <c r="I284" s="341">
        <f t="shared" si="27"/>
        <v>259.88</v>
      </c>
      <c r="J284" s="362"/>
      <c r="L284" s="180"/>
      <c r="M284" s="180"/>
    </row>
    <row r="285" spans="1:13" s="181" customFormat="1" ht="27.75" customHeight="1" x14ac:dyDescent="0.25">
      <c r="A285" s="206">
        <f t="shared" si="28"/>
        <v>250</v>
      </c>
      <c r="B285" s="266" t="s">
        <v>701</v>
      </c>
      <c r="C285" s="405" t="s">
        <v>939</v>
      </c>
      <c r="D285" s="406" t="s">
        <v>948</v>
      </c>
      <c r="E285" s="291">
        <v>242</v>
      </c>
      <c r="F285" s="264" t="s">
        <v>681</v>
      </c>
      <c r="G285" s="265">
        <v>1</v>
      </c>
      <c r="H285" s="265">
        <v>400</v>
      </c>
      <c r="I285" s="341">
        <f t="shared" si="27"/>
        <v>400</v>
      </c>
      <c r="J285" s="362"/>
      <c r="L285" s="180"/>
      <c r="M285" s="180"/>
    </row>
    <row r="286" spans="1:13" s="181" customFormat="1" ht="29.25" customHeight="1" x14ac:dyDescent="0.25">
      <c r="A286" s="206">
        <f t="shared" si="28"/>
        <v>251</v>
      </c>
      <c r="B286" s="266" t="s">
        <v>702</v>
      </c>
      <c r="C286" s="405" t="s">
        <v>940</v>
      </c>
      <c r="D286" s="406" t="s">
        <v>950</v>
      </c>
      <c r="E286" s="291">
        <v>243</v>
      </c>
      <c r="F286" s="264" t="s">
        <v>681</v>
      </c>
      <c r="G286" s="265">
        <v>1</v>
      </c>
      <c r="H286" s="265">
        <v>1000</v>
      </c>
      <c r="I286" s="341">
        <f t="shared" si="27"/>
        <v>1000</v>
      </c>
      <c r="J286" s="362"/>
      <c r="L286" s="180"/>
      <c r="M286" s="180"/>
    </row>
    <row r="287" spans="1:13" s="181" customFormat="1" ht="31.5" customHeight="1" thickBot="1" x14ac:dyDescent="0.3">
      <c r="A287" s="206">
        <f t="shared" si="28"/>
        <v>252</v>
      </c>
      <c r="B287" s="268" t="s">
        <v>703</v>
      </c>
      <c r="C287" s="407" t="s">
        <v>941</v>
      </c>
      <c r="D287" s="408" t="s">
        <v>948</v>
      </c>
      <c r="E287" s="291">
        <v>244</v>
      </c>
      <c r="F287" s="201" t="s">
        <v>681</v>
      </c>
      <c r="G287" s="269">
        <v>1</v>
      </c>
      <c r="H287" s="269">
        <v>3000</v>
      </c>
      <c r="I287" s="342">
        <f t="shared" si="27"/>
        <v>3000</v>
      </c>
      <c r="J287" s="363"/>
      <c r="L287" s="180"/>
      <c r="M287" s="180"/>
    </row>
    <row r="288" spans="1:13" s="181" customFormat="1" ht="24.9" customHeight="1" thickBot="1" x14ac:dyDescent="0.3">
      <c r="A288" s="184"/>
      <c r="B288" s="173"/>
      <c r="C288" s="522" t="s">
        <v>1240</v>
      </c>
      <c r="D288" s="523"/>
      <c r="E288" s="523"/>
      <c r="F288" s="523"/>
      <c r="G288" s="523"/>
      <c r="H288" s="524"/>
      <c r="I288" s="346">
        <f>SUM(I269:I287)</f>
        <v>10058.830000000002</v>
      </c>
      <c r="J288" s="357">
        <f>I288</f>
        <v>10058.830000000002</v>
      </c>
      <c r="L288" s="180"/>
      <c r="M288" s="180"/>
    </row>
    <row r="289" spans="1:13" s="181" customFormat="1" ht="20.100000000000001" customHeight="1" x14ac:dyDescent="0.25">
      <c r="A289" s="185"/>
      <c r="B289" s="175" t="s">
        <v>1248</v>
      </c>
      <c r="C289" s="273"/>
      <c r="D289" s="178"/>
      <c r="E289" s="279"/>
      <c r="F289" s="178"/>
      <c r="G289" s="108"/>
      <c r="H289" s="108"/>
      <c r="I289" s="344"/>
      <c r="J289" s="361"/>
      <c r="L289" s="180"/>
      <c r="M289" s="180"/>
    </row>
    <row r="290" spans="1:13" s="181" customFormat="1" ht="29.25" customHeight="1" x14ac:dyDescent="0.25">
      <c r="A290" s="206">
        <f>A287+1</f>
        <v>253</v>
      </c>
      <c r="B290" s="266" t="s">
        <v>540</v>
      </c>
      <c r="C290" s="274" t="s">
        <v>807</v>
      </c>
      <c r="D290" s="264" t="s">
        <v>990</v>
      </c>
      <c r="E290" s="291">
        <v>245</v>
      </c>
      <c r="F290" s="264" t="s">
        <v>189</v>
      </c>
      <c r="G290" s="265">
        <v>1</v>
      </c>
      <c r="H290" s="265">
        <v>862.78</v>
      </c>
      <c r="I290" s="341">
        <f>G290*H290</f>
        <v>862.78</v>
      </c>
      <c r="J290" s="362"/>
      <c r="L290" s="180"/>
      <c r="M290" s="180"/>
    </row>
    <row r="291" spans="1:13" s="181" customFormat="1" ht="29.25" customHeight="1" x14ac:dyDescent="0.25">
      <c r="A291" s="206">
        <f>A290+1</f>
        <v>254</v>
      </c>
      <c r="B291" s="266" t="s">
        <v>541</v>
      </c>
      <c r="C291" s="274" t="s">
        <v>808</v>
      </c>
      <c r="D291" s="264" t="s">
        <v>990</v>
      </c>
      <c r="E291" s="291">
        <v>246</v>
      </c>
      <c r="F291" s="264" t="s">
        <v>189</v>
      </c>
      <c r="G291" s="265">
        <v>1</v>
      </c>
      <c r="H291" s="265">
        <v>530.79999999999995</v>
      </c>
      <c r="I291" s="341">
        <f t="shared" ref="I291:I316" si="29">G291*H291</f>
        <v>530.79999999999995</v>
      </c>
      <c r="J291" s="362"/>
      <c r="L291" s="180"/>
      <c r="M291" s="180"/>
    </row>
    <row r="292" spans="1:13" s="181" customFormat="1" ht="29.25" customHeight="1" x14ac:dyDescent="0.25">
      <c r="A292" s="206">
        <f t="shared" ref="A292:A355" si="30">A291+1</f>
        <v>255</v>
      </c>
      <c r="B292" s="266" t="s">
        <v>542</v>
      </c>
      <c r="C292" s="274" t="s">
        <v>809</v>
      </c>
      <c r="D292" s="264" t="s">
        <v>990</v>
      </c>
      <c r="E292" s="291">
        <v>247</v>
      </c>
      <c r="F292" s="264" t="s">
        <v>189</v>
      </c>
      <c r="G292" s="265">
        <v>1</v>
      </c>
      <c r="H292" s="265">
        <v>627.97</v>
      </c>
      <c r="I292" s="341">
        <f t="shared" si="29"/>
        <v>627.97</v>
      </c>
      <c r="J292" s="362"/>
      <c r="L292" s="180"/>
      <c r="M292" s="180"/>
    </row>
    <row r="293" spans="1:13" s="181" customFormat="1" ht="29.25" customHeight="1" x14ac:dyDescent="0.25">
      <c r="A293" s="206">
        <f t="shared" si="30"/>
        <v>256</v>
      </c>
      <c r="B293" s="266" t="s">
        <v>543</v>
      </c>
      <c r="C293" s="275" t="s">
        <v>810</v>
      </c>
      <c r="D293" s="264" t="s">
        <v>990</v>
      </c>
      <c r="E293" s="291">
        <v>248</v>
      </c>
      <c r="F293" s="264" t="s">
        <v>189</v>
      </c>
      <c r="G293" s="265">
        <v>1</v>
      </c>
      <c r="H293" s="265">
        <v>551.24</v>
      </c>
      <c r="I293" s="341">
        <f t="shared" si="29"/>
        <v>551.24</v>
      </c>
      <c r="J293" s="362"/>
      <c r="L293" s="180"/>
      <c r="M293" s="180"/>
    </row>
    <row r="294" spans="1:13" s="181" customFormat="1" ht="29.25" customHeight="1" x14ac:dyDescent="0.25">
      <c r="A294" s="206">
        <f t="shared" si="30"/>
        <v>257</v>
      </c>
      <c r="B294" s="266" t="s">
        <v>1268</v>
      </c>
      <c r="C294" s="292" t="s">
        <v>811</v>
      </c>
      <c r="D294" s="264" t="s">
        <v>990</v>
      </c>
      <c r="E294" s="291">
        <v>249</v>
      </c>
      <c r="F294" s="264" t="s">
        <v>189</v>
      </c>
      <c r="G294" s="265">
        <v>2</v>
      </c>
      <c r="H294" s="265">
        <v>450.19</v>
      </c>
      <c r="I294" s="341">
        <f t="shared" si="29"/>
        <v>900.38</v>
      </c>
      <c r="J294" s="362"/>
      <c r="L294" s="180"/>
      <c r="M294" s="180"/>
    </row>
    <row r="295" spans="1:13" s="181" customFormat="1" ht="20.100000000000001" customHeight="1" x14ac:dyDescent="0.25">
      <c r="A295" s="206">
        <f t="shared" si="30"/>
        <v>258</v>
      </c>
      <c r="B295" s="266" t="s">
        <v>544</v>
      </c>
      <c r="C295" s="290" t="s">
        <v>812</v>
      </c>
      <c r="D295" s="264" t="s">
        <v>990</v>
      </c>
      <c r="E295" s="291">
        <v>250</v>
      </c>
      <c r="F295" s="264" t="s">
        <v>189</v>
      </c>
      <c r="G295" s="265">
        <v>3</v>
      </c>
      <c r="H295" s="265">
        <v>337.46</v>
      </c>
      <c r="I295" s="341">
        <f t="shared" si="29"/>
        <v>1012.3799999999999</v>
      </c>
      <c r="J295" s="362"/>
      <c r="L295" s="180"/>
      <c r="M295" s="180"/>
    </row>
    <row r="296" spans="1:13" s="181" customFormat="1" ht="20.100000000000001" customHeight="1" x14ac:dyDescent="0.25">
      <c r="A296" s="206">
        <f t="shared" si="30"/>
        <v>259</v>
      </c>
      <c r="B296" s="266" t="s">
        <v>545</v>
      </c>
      <c r="C296" s="292" t="s">
        <v>813</v>
      </c>
      <c r="D296" s="264" t="s">
        <v>991</v>
      </c>
      <c r="E296" s="291">
        <v>251</v>
      </c>
      <c r="F296" s="264" t="s">
        <v>189</v>
      </c>
      <c r="G296" s="265">
        <v>1</v>
      </c>
      <c r="H296" s="265">
        <v>477.51</v>
      </c>
      <c r="I296" s="341">
        <f t="shared" si="29"/>
        <v>477.51</v>
      </c>
      <c r="J296" s="362"/>
      <c r="L296" s="180"/>
      <c r="M296" s="180"/>
    </row>
    <row r="297" spans="1:13" s="181" customFormat="1" ht="20.100000000000001" customHeight="1" x14ac:dyDescent="0.25">
      <c r="A297" s="206">
        <f t="shared" si="30"/>
        <v>260</v>
      </c>
      <c r="B297" s="266" t="s">
        <v>546</v>
      </c>
      <c r="C297" s="292" t="s">
        <v>814</v>
      </c>
      <c r="D297" s="264" t="s">
        <v>991</v>
      </c>
      <c r="E297" s="291">
        <v>252</v>
      </c>
      <c r="F297" s="264" t="s">
        <v>189</v>
      </c>
      <c r="G297" s="265">
        <v>2</v>
      </c>
      <c r="H297" s="265">
        <v>463.12</v>
      </c>
      <c r="I297" s="341">
        <f t="shared" si="29"/>
        <v>926.24</v>
      </c>
      <c r="J297" s="362"/>
      <c r="L297" s="180"/>
      <c r="M297" s="180"/>
    </row>
    <row r="298" spans="1:13" s="181" customFormat="1" ht="20.100000000000001" customHeight="1" x14ac:dyDescent="0.25">
      <c r="A298" s="206">
        <f t="shared" si="30"/>
        <v>261</v>
      </c>
      <c r="B298" s="266" t="s">
        <v>547</v>
      </c>
      <c r="C298" s="207" t="s">
        <v>815</v>
      </c>
      <c r="D298" s="264" t="s">
        <v>991</v>
      </c>
      <c r="E298" s="291">
        <v>253</v>
      </c>
      <c r="F298" s="264" t="s">
        <v>189</v>
      </c>
      <c r="G298" s="265">
        <v>2</v>
      </c>
      <c r="H298" s="265">
        <v>213.37</v>
      </c>
      <c r="I298" s="341">
        <f t="shared" si="29"/>
        <v>426.74</v>
      </c>
      <c r="J298" s="362"/>
      <c r="L298" s="180"/>
      <c r="M298" s="180"/>
    </row>
    <row r="299" spans="1:13" s="181" customFormat="1" ht="20.100000000000001" customHeight="1" x14ac:dyDescent="0.25">
      <c r="A299" s="206">
        <f t="shared" si="30"/>
        <v>262</v>
      </c>
      <c r="B299" s="266" t="s">
        <v>548</v>
      </c>
      <c r="C299" s="289" t="s">
        <v>816</v>
      </c>
      <c r="D299" s="264" t="s">
        <v>991</v>
      </c>
      <c r="E299" s="291">
        <v>254</v>
      </c>
      <c r="F299" s="264" t="s">
        <v>189</v>
      </c>
      <c r="G299" s="265">
        <v>3</v>
      </c>
      <c r="H299" s="265">
        <v>52.09</v>
      </c>
      <c r="I299" s="341">
        <f t="shared" si="29"/>
        <v>156.27000000000001</v>
      </c>
      <c r="J299" s="362"/>
      <c r="L299" s="180"/>
      <c r="M299" s="180"/>
    </row>
    <row r="300" spans="1:13" s="181" customFormat="1" ht="20.100000000000001" customHeight="1" x14ac:dyDescent="0.25">
      <c r="A300" s="206">
        <f t="shared" si="30"/>
        <v>263</v>
      </c>
      <c r="B300" s="266" t="s">
        <v>549</v>
      </c>
      <c r="C300" s="292" t="s">
        <v>817</v>
      </c>
      <c r="D300" s="264" t="s">
        <v>991</v>
      </c>
      <c r="E300" s="291">
        <v>255</v>
      </c>
      <c r="F300" s="264" t="s">
        <v>189</v>
      </c>
      <c r="G300" s="265">
        <v>1</v>
      </c>
      <c r="H300" s="265">
        <v>25.88</v>
      </c>
      <c r="I300" s="341">
        <f t="shared" si="29"/>
        <v>25.88</v>
      </c>
      <c r="J300" s="362"/>
      <c r="L300" s="180"/>
      <c r="M300" s="180"/>
    </row>
    <row r="301" spans="1:13" s="181" customFormat="1" ht="20.100000000000001" customHeight="1" x14ac:dyDescent="0.25">
      <c r="A301" s="206">
        <f t="shared" si="30"/>
        <v>264</v>
      </c>
      <c r="B301" s="266" t="s">
        <v>550</v>
      </c>
      <c r="C301" s="274" t="s">
        <v>818</v>
      </c>
      <c r="D301" s="264" t="s">
        <v>991</v>
      </c>
      <c r="E301" s="291">
        <v>256</v>
      </c>
      <c r="F301" s="264" t="s">
        <v>189</v>
      </c>
      <c r="G301" s="265">
        <v>3</v>
      </c>
      <c r="H301" s="265">
        <v>18.149999999999999</v>
      </c>
      <c r="I301" s="341">
        <f t="shared" si="29"/>
        <v>54.449999999999996</v>
      </c>
      <c r="J301" s="362"/>
      <c r="L301" s="180"/>
      <c r="M301" s="180"/>
    </row>
    <row r="302" spans="1:13" s="181" customFormat="1" ht="20.100000000000001" customHeight="1" x14ac:dyDescent="0.25">
      <c r="A302" s="206">
        <f t="shared" si="30"/>
        <v>265</v>
      </c>
      <c r="B302" s="266" t="s">
        <v>551</v>
      </c>
      <c r="C302" s="292" t="s">
        <v>819</v>
      </c>
      <c r="D302" s="264" t="s">
        <v>991</v>
      </c>
      <c r="E302" s="291">
        <v>257</v>
      </c>
      <c r="F302" s="264" t="s">
        <v>189</v>
      </c>
      <c r="G302" s="265">
        <v>3</v>
      </c>
      <c r="H302" s="265">
        <v>24.89</v>
      </c>
      <c r="I302" s="341">
        <f t="shared" si="29"/>
        <v>74.67</v>
      </c>
      <c r="J302" s="362"/>
      <c r="L302" s="180"/>
      <c r="M302" s="180"/>
    </row>
    <row r="303" spans="1:13" s="181" customFormat="1" ht="20.100000000000001" customHeight="1" x14ac:dyDescent="0.25">
      <c r="A303" s="206">
        <f t="shared" si="30"/>
        <v>266</v>
      </c>
      <c r="B303" s="266" t="s">
        <v>552</v>
      </c>
      <c r="C303" s="290" t="s">
        <v>820</v>
      </c>
      <c r="D303" s="264" t="s">
        <v>991</v>
      </c>
      <c r="E303" s="291">
        <v>258</v>
      </c>
      <c r="F303" s="264" t="s">
        <v>189</v>
      </c>
      <c r="G303" s="265">
        <v>2</v>
      </c>
      <c r="H303" s="265">
        <v>43.5</v>
      </c>
      <c r="I303" s="341">
        <f t="shared" si="29"/>
        <v>87</v>
      </c>
      <c r="J303" s="362"/>
      <c r="L303" s="180"/>
      <c r="M303" s="180"/>
    </row>
    <row r="304" spans="1:13" s="181" customFormat="1" ht="20.100000000000001" customHeight="1" x14ac:dyDescent="0.25">
      <c r="A304" s="206">
        <f t="shared" si="30"/>
        <v>267</v>
      </c>
      <c r="B304" s="266" t="s">
        <v>553</v>
      </c>
      <c r="C304" s="292" t="s">
        <v>819</v>
      </c>
      <c r="D304" s="264" t="s">
        <v>991</v>
      </c>
      <c r="E304" s="291">
        <v>259</v>
      </c>
      <c r="F304" s="264" t="s">
        <v>189</v>
      </c>
      <c r="G304" s="265">
        <v>17</v>
      </c>
      <c r="H304" s="265">
        <v>9.74</v>
      </c>
      <c r="I304" s="341">
        <f t="shared" si="29"/>
        <v>165.58</v>
      </c>
      <c r="J304" s="362"/>
      <c r="L304" s="180"/>
      <c r="M304" s="180"/>
    </row>
    <row r="305" spans="1:13" s="181" customFormat="1" ht="20.100000000000001" customHeight="1" x14ac:dyDescent="0.25">
      <c r="A305" s="206">
        <f t="shared" si="30"/>
        <v>268</v>
      </c>
      <c r="B305" s="266" t="s">
        <v>554</v>
      </c>
      <c r="C305" s="292" t="s">
        <v>821</v>
      </c>
      <c r="D305" s="264" t="s">
        <v>991</v>
      </c>
      <c r="E305" s="291">
        <v>260</v>
      </c>
      <c r="F305" s="264" t="s">
        <v>189</v>
      </c>
      <c r="G305" s="265">
        <v>31</v>
      </c>
      <c r="H305" s="265">
        <v>9.74</v>
      </c>
      <c r="I305" s="341">
        <f t="shared" si="29"/>
        <v>301.94</v>
      </c>
      <c r="J305" s="362"/>
      <c r="L305" s="180"/>
      <c r="M305" s="180"/>
    </row>
    <row r="306" spans="1:13" s="181" customFormat="1" ht="20.100000000000001" customHeight="1" x14ac:dyDescent="0.25">
      <c r="A306" s="206">
        <f t="shared" si="30"/>
        <v>269</v>
      </c>
      <c r="B306" s="266" t="s">
        <v>555</v>
      </c>
      <c r="C306" s="274" t="s">
        <v>822</v>
      </c>
      <c r="D306" s="264" t="s">
        <v>991</v>
      </c>
      <c r="E306" s="291">
        <v>261</v>
      </c>
      <c r="F306" s="264" t="s">
        <v>189</v>
      </c>
      <c r="G306" s="265">
        <v>5</v>
      </c>
      <c r="H306" s="265">
        <v>124.41</v>
      </c>
      <c r="I306" s="341">
        <f t="shared" si="29"/>
        <v>622.04999999999995</v>
      </c>
      <c r="J306" s="362"/>
      <c r="L306" s="180"/>
      <c r="M306" s="180"/>
    </row>
    <row r="307" spans="1:13" s="181" customFormat="1" ht="20.100000000000001" customHeight="1" x14ac:dyDescent="0.25">
      <c r="A307" s="206">
        <f t="shared" si="30"/>
        <v>270</v>
      </c>
      <c r="B307" s="266" t="s">
        <v>556</v>
      </c>
      <c r="C307" s="274" t="s">
        <v>823</v>
      </c>
      <c r="D307" s="264" t="s">
        <v>991</v>
      </c>
      <c r="E307" s="291">
        <v>262</v>
      </c>
      <c r="F307" s="264" t="s">
        <v>189</v>
      </c>
      <c r="G307" s="265">
        <v>2</v>
      </c>
      <c r="H307" s="265">
        <v>159.6</v>
      </c>
      <c r="I307" s="341">
        <f t="shared" si="29"/>
        <v>319.2</v>
      </c>
      <c r="J307" s="362"/>
      <c r="L307" s="180"/>
      <c r="M307" s="180"/>
    </row>
    <row r="308" spans="1:13" s="181" customFormat="1" ht="20.100000000000001" customHeight="1" x14ac:dyDescent="0.25">
      <c r="A308" s="206">
        <f t="shared" si="30"/>
        <v>271</v>
      </c>
      <c r="B308" s="266" t="s">
        <v>557</v>
      </c>
      <c r="C308" s="274" t="s">
        <v>1180</v>
      </c>
      <c r="D308" s="264" t="s">
        <v>991</v>
      </c>
      <c r="E308" s="291">
        <v>263</v>
      </c>
      <c r="F308" s="264" t="s">
        <v>189</v>
      </c>
      <c r="G308" s="265">
        <v>16</v>
      </c>
      <c r="H308" s="265">
        <v>42.1</v>
      </c>
      <c r="I308" s="341">
        <f t="shared" si="29"/>
        <v>673.6</v>
      </c>
      <c r="J308" s="362"/>
      <c r="L308" s="180"/>
      <c r="M308" s="180"/>
    </row>
    <row r="309" spans="1:13" s="181" customFormat="1" ht="20.100000000000001" customHeight="1" x14ac:dyDescent="0.25">
      <c r="A309" s="206">
        <f t="shared" si="30"/>
        <v>272</v>
      </c>
      <c r="B309" s="266" t="s">
        <v>558</v>
      </c>
      <c r="C309" s="274" t="s">
        <v>824</v>
      </c>
      <c r="D309" s="264" t="s">
        <v>991</v>
      </c>
      <c r="E309" s="291">
        <v>264</v>
      </c>
      <c r="F309" s="264" t="s">
        <v>189</v>
      </c>
      <c r="G309" s="265">
        <v>12</v>
      </c>
      <c r="H309" s="265">
        <v>7.64</v>
      </c>
      <c r="I309" s="341">
        <f t="shared" si="29"/>
        <v>91.679999999999993</v>
      </c>
      <c r="J309" s="362"/>
      <c r="L309" s="180"/>
      <c r="M309" s="180"/>
    </row>
    <row r="310" spans="1:13" s="181" customFormat="1" ht="20.100000000000001" customHeight="1" x14ac:dyDescent="0.25">
      <c r="A310" s="206">
        <f t="shared" si="30"/>
        <v>273</v>
      </c>
      <c r="B310" s="266" t="s">
        <v>559</v>
      </c>
      <c r="C310" s="274" t="s">
        <v>824</v>
      </c>
      <c r="D310" s="264" t="s">
        <v>1181</v>
      </c>
      <c r="E310" s="291">
        <v>265</v>
      </c>
      <c r="F310" s="264" t="s">
        <v>189</v>
      </c>
      <c r="G310" s="265">
        <v>15</v>
      </c>
      <c r="H310" s="265">
        <v>26.51</v>
      </c>
      <c r="I310" s="341">
        <f t="shared" si="29"/>
        <v>397.65000000000003</v>
      </c>
      <c r="J310" s="362"/>
      <c r="L310" s="180"/>
      <c r="M310" s="180"/>
    </row>
    <row r="311" spans="1:13" s="181" customFormat="1" ht="20.100000000000001" customHeight="1" x14ac:dyDescent="0.25">
      <c r="A311" s="206">
        <f t="shared" si="30"/>
        <v>274</v>
      </c>
      <c r="B311" s="266" t="s">
        <v>560</v>
      </c>
      <c r="C311" s="274" t="s">
        <v>825</v>
      </c>
      <c r="D311" s="264" t="s">
        <v>1182</v>
      </c>
      <c r="E311" s="291">
        <v>266</v>
      </c>
      <c r="F311" s="264" t="s">
        <v>189</v>
      </c>
      <c r="G311" s="265">
        <v>24</v>
      </c>
      <c r="H311" s="265">
        <v>159.72</v>
      </c>
      <c r="I311" s="341">
        <f t="shared" si="29"/>
        <v>3833.2799999999997</v>
      </c>
      <c r="J311" s="362"/>
      <c r="L311" s="180"/>
      <c r="M311" s="180"/>
    </row>
    <row r="312" spans="1:13" s="181" customFormat="1" ht="20.100000000000001" customHeight="1" x14ac:dyDescent="0.25">
      <c r="A312" s="206">
        <f t="shared" si="30"/>
        <v>275</v>
      </c>
      <c r="B312" s="266" t="s">
        <v>561</v>
      </c>
      <c r="C312" s="274" t="s">
        <v>826</v>
      </c>
      <c r="D312" s="264" t="s">
        <v>1182</v>
      </c>
      <c r="E312" s="291">
        <v>267</v>
      </c>
      <c r="F312" s="264" t="s">
        <v>189</v>
      </c>
      <c r="G312" s="265">
        <v>4</v>
      </c>
      <c r="H312" s="265">
        <v>140.4</v>
      </c>
      <c r="I312" s="341">
        <f t="shared" si="29"/>
        <v>561.6</v>
      </c>
      <c r="J312" s="362"/>
      <c r="L312" s="180"/>
      <c r="M312" s="180"/>
    </row>
    <row r="313" spans="1:13" s="181" customFormat="1" ht="20.100000000000001" customHeight="1" x14ac:dyDescent="0.25">
      <c r="A313" s="206">
        <f t="shared" si="30"/>
        <v>276</v>
      </c>
      <c r="B313" s="266" t="s">
        <v>562</v>
      </c>
      <c r="C313" s="274"/>
      <c r="D313" s="264" t="s">
        <v>1182</v>
      </c>
      <c r="E313" s="291">
        <v>268</v>
      </c>
      <c r="F313" s="264" t="s">
        <v>189</v>
      </c>
      <c r="G313" s="265">
        <v>17</v>
      </c>
      <c r="H313" s="265">
        <v>1500</v>
      </c>
      <c r="I313" s="341">
        <f t="shared" si="29"/>
        <v>25500</v>
      </c>
      <c r="J313" s="362"/>
      <c r="L313" s="180"/>
      <c r="M313" s="180"/>
    </row>
    <row r="314" spans="1:13" s="181" customFormat="1" ht="20.100000000000001" customHeight="1" x14ac:dyDescent="0.25">
      <c r="A314" s="206">
        <f t="shared" si="30"/>
        <v>277</v>
      </c>
      <c r="B314" s="266" t="s">
        <v>563</v>
      </c>
      <c r="C314" s="274"/>
      <c r="D314" s="264" t="s">
        <v>1183</v>
      </c>
      <c r="E314" s="291">
        <v>269</v>
      </c>
      <c r="F314" s="264" t="s">
        <v>189</v>
      </c>
      <c r="G314" s="265">
        <v>5</v>
      </c>
      <c r="H314" s="265">
        <v>110.76</v>
      </c>
      <c r="I314" s="341">
        <f t="shared" si="29"/>
        <v>553.80000000000007</v>
      </c>
      <c r="J314" s="362"/>
      <c r="L314" s="180"/>
      <c r="M314" s="180"/>
    </row>
    <row r="315" spans="1:13" s="181" customFormat="1" ht="20.100000000000001" customHeight="1" x14ac:dyDescent="0.25">
      <c r="A315" s="206">
        <f t="shared" si="30"/>
        <v>278</v>
      </c>
      <c r="B315" s="266" t="s">
        <v>564</v>
      </c>
      <c r="C315" s="274" t="s">
        <v>1184</v>
      </c>
      <c r="D315" s="264" t="s">
        <v>1183</v>
      </c>
      <c r="E315" s="291">
        <v>270</v>
      </c>
      <c r="F315" s="264" t="s">
        <v>189</v>
      </c>
      <c r="G315" s="265">
        <v>12</v>
      </c>
      <c r="H315" s="265">
        <v>76.8</v>
      </c>
      <c r="I315" s="341">
        <f t="shared" si="29"/>
        <v>921.59999999999991</v>
      </c>
      <c r="J315" s="362"/>
      <c r="L315" s="180"/>
      <c r="M315" s="180"/>
    </row>
    <row r="316" spans="1:13" s="181" customFormat="1" ht="20.100000000000001" customHeight="1" x14ac:dyDescent="0.25">
      <c r="A316" s="206">
        <f t="shared" si="30"/>
        <v>279</v>
      </c>
      <c r="B316" s="266" t="s">
        <v>565</v>
      </c>
      <c r="C316" s="277" t="s">
        <v>1185</v>
      </c>
      <c r="D316" s="264" t="s">
        <v>1182</v>
      </c>
      <c r="E316" s="291">
        <v>271</v>
      </c>
      <c r="F316" s="264" t="s">
        <v>189</v>
      </c>
      <c r="G316" s="265">
        <v>17</v>
      </c>
      <c r="H316" s="265">
        <v>100.27500000000001</v>
      </c>
      <c r="I316" s="341">
        <f t="shared" si="29"/>
        <v>1704.6750000000002</v>
      </c>
      <c r="J316" s="362"/>
    </row>
    <row r="317" spans="1:13" s="181" customFormat="1" ht="20.100000000000001" customHeight="1" x14ac:dyDescent="0.25">
      <c r="A317" s="206">
        <f t="shared" si="30"/>
        <v>280</v>
      </c>
      <c r="B317" s="288" t="s">
        <v>566</v>
      </c>
      <c r="C317" s="274" t="s">
        <v>1186</v>
      </c>
      <c r="D317" s="264"/>
      <c r="E317" s="291">
        <v>272</v>
      </c>
      <c r="F317" s="264" t="s">
        <v>189</v>
      </c>
      <c r="G317" s="265">
        <v>9</v>
      </c>
      <c r="H317" s="265">
        <v>171.53</v>
      </c>
      <c r="I317" s="341">
        <f>G317*H317</f>
        <v>1543.77</v>
      </c>
      <c r="J317" s="362"/>
      <c r="L317" s="180"/>
      <c r="M317" s="180"/>
    </row>
    <row r="318" spans="1:13" s="181" customFormat="1" ht="20.100000000000001" customHeight="1" x14ac:dyDescent="0.25">
      <c r="A318" s="206">
        <f t="shared" si="30"/>
        <v>281</v>
      </c>
      <c r="B318" s="288" t="s">
        <v>567</v>
      </c>
      <c r="C318" s="274" t="s">
        <v>1186</v>
      </c>
      <c r="D318" s="264"/>
      <c r="E318" s="291">
        <v>273</v>
      </c>
      <c r="F318" s="264" t="s">
        <v>189</v>
      </c>
      <c r="G318" s="265">
        <v>3</v>
      </c>
      <c r="H318" s="265">
        <v>185.42</v>
      </c>
      <c r="I318" s="341">
        <f t="shared" ref="I318:I348" si="31">G318*H318</f>
        <v>556.26</v>
      </c>
      <c r="J318" s="362"/>
      <c r="L318" s="180"/>
      <c r="M318" s="180"/>
    </row>
    <row r="319" spans="1:13" s="181" customFormat="1" ht="20.100000000000001" customHeight="1" x14ac:dyDescent="0.25">
      <c r="A319" s="206">
        <f t="shared" si="30"/>
        <v>282</v>
      </c>
      <c r="B319" s="288" t="s">
        <v>568</v>
      </c>
      <c r="C319" s="292" t="s">
        <v>827</v>
      </c>
      <c r="D319" s="264" t="s">
        <v>992</v>
      </c>
      <c r="E319" s="291">
        <v>274</v>
      </c>
      <c r="F319" s="264" t="s">
        <v>465</v>
      </c>
      <c r="G319" s="265">
        <v>50</v>
      </c>
      <c r="H319" s="265">
        <v>6.76</v>
      </c>
      <c r="I319" s="341">
        <f t="shared" si="31"/>
        <v>338</v>
      </c>
      <c r="J319" s="362"/>
      <c r="L319" s="180"/>
      <c r="M319" s="180"/>
    </row>
    <row r="320" spans="1:13" s="181" customFormat="1" ht="20.100000000000001" customHeight="1" x14ac:dyDescent="0.25">
      <c r="A320" s="206">
        <f t="shared" si="30"/>
        <v>283</v>
      </c>
      <c r="B320" s="288" t="s">
        <v>882</v>
      </c>
      <c r="C320" s="274" t="s">
        <v>828</v>
      </c>
      <c r="D320" s="264" t="s">
        <v>993</v>
      </c>
      <c r="E320" s="291">
        <v>275</v>
      </c>
      <c r="F320" s="264" t="s">
        <v>465</v>
      </c>
      <c r="G320" s="265">
        <v>70</v>
      </c>
      <c r="H320" s="265">
        <v>5.93</v>
      </c>
      <c r="I320" s="341">
        <f t="shared" si="31"/>
        <v>415.09999999999997</v>
      </c>
      <c r="J320" s="362"/>
      <c r="L320" s="180"/>
      <c r="M320" s="180"/>
    </row>
    <row r="321" spans="1:13" s="181" customFormat="1" ht="20.100000000000001" customHeight="1" x14ac:dyDescent="0.25">
      <c r="A321" s="206">
        <f t="shared" si="30"/>
        <v>284</v>
      </c>
      <c r="B321" s="288" t="s">
        <v>883</v>
      </c>
      <c r="C321" s="274" t="s">
        <v>829</v>
      </c>
      <c r="D321" s="264" t="s">
        <v>993</v>
      </c>
      <c r="E321" s="291">
        <v>276</v>
      </c>
      <c r="F321" s="264" t="s">
        <v>465</v>
      </c>
      <c r="G321" s="265">
        <v>60</v>
      </c>
      <c r="H321" s="265">
        <v>7.11</v>
      </c>
      <c r="I321" s="341">
        <f t="shared" si="31"/>
        <v>426.6</v>
      </c>
      <c r="J321" s="362"/>
      <c r="L321" s="180"/>
      <c r="M321" s="180"/>
    </row>
    <row r="322" spans="1:13" s="181" customFormat="1" ht="20.100000000000001" customHeight="1" x14ac:dyDescent="0.25">
      <c r="A322" s="206">
        <f t="shared" si="30"/>
        <v>285</v>
      </c>
      <c r="B322" s="288" t="s">
        <v>884</v>
      </c>
      <c r="C322" s="274" t="s">
        <v>830</v>
      </c>
      <c r="D322" s="264" t="s">
        <v>993</v>
      </c>
      <c r="E322" s="291">
        <v>277</v>
      </c>
      <c r="F322" s="264" t="s">
        <v>465</v>
      </c>
      <c r="G322" s="265">
        <v>80</v>
      </c>
      <c r="H322" s="265">
        <v>8.33</v>
      </c>
      <c r="I322" s="341">
        <f t="shared" si="31"/>
        <v>666.4</v>
      </c>
      <c r="J322" s="362"/>
      <c r="L322" s="180"/>
      <c r="M322" s="180"/>
    </row>
    <row r="323" spans="1:13" s="181" customFormat="1" ht="20.100000000000001" customHeight="1" x14ac:dyDescent="0.25">
      <c r="A323" s="206">
        <f t="shared" si="30"/>
        <v>286</v>
      </c>
      <c r="B323" s="288" t="s">
        <v>885</v>
      </c>
      <c r="C323" s="274" t="s">
        <v>831</v>
      </c>
      <c r="D323" s="264" t="s">
        <v>993</v>
      </c>
      <c r="E323" s="291">
        <v>278</v>
      </c>
      <c r="F323" s="264" t="s">
        <v>465</v>
      </c>
      <c r="G323" s="265">
        <v>15</v>
      </c>
      <c r="H323" s="265">
        <v>10.33</v>
      </c>
      <c r="I323" s="341">
        <f t="shared" si="31"/>
        <v>154.94999999999999</v>
      </c>
      <c r="J323" s="362"/>
      <c r="L323" s="180"/>
      <c r="M323" s="180"/>
    </row>
    <row r="324" spans="1:13" s="181" customFormat="1" ht="20.100000000000001" customHeight="1" x14ac:dyDescent="0.25">
      <c r="A324" s="206">
        <f t="shared" si="30"/>
        <v>287</v>
      </c>
      <c r="B324" s="288" t="s">
        <v>886</v>
      </c>
      <c r="C324" s="274" t="s">
        <v>832</v>
      </c>
      <c r="D324" s="264" t="s">
        <v>993</v>
      </c>
      <c r="E324" s="291">
        <v>279</v>
      </c>
      <c r="F324" s="264" t="s">
        <v>465</v>
      </c>
      <c r="G324" s="265">
        <v>30</v>
      </c>
      <c r="H324" s="265">
        <v>13.01</v>
      </c>
      <c r="I324" s="341">
        <f t="shared" si="31"/>
        <v>390.3</v>
      </c>
      <c r="J324" s="362"/>
      <c r="L324" s="180"/>
      <c r="M324" s="180"/>
    </row>
    <row r="325" spans="1:13" s="181" customFormat="1" ht="20.100000000000001" customHeight="1" x14ac:dyDescent="0.25">
      <c r="A325" s="206">
        <f t="shared" si="30"/>
        <v>288</v>
      </c>
      <c r="B325" s="288" t="s">
        <v>887</v>
      </c>
      <c r="C325" s="274" t="s">
        <v>833</v>
      </c>
      <c r="D325" s="264" t="s">
        <v>993</v>
      </c>
      <c r="E325" s="291">
        <v>280</v>
      </c>
      <c r="F325" s="264" t="s">
        <v>465</v>
      </c>
      <c r="G325" s="265">
        <v>320</v>
      </c>
      <c r="H325" s="265">
        <v>16.510000000000002</v>
      </c>
      <c r="I325" s="341">
        <f t="shared" si="31"/>
        <v>5283.2000000000007</v>
      </c>
      <c r="J325" s="362"/>
      <c r="L325" s="180"/>
      <c r="M325" s="180"/>
    </row>
    <row r="326" spans="1:13" s="181" customFormat="1" ht="20.100000000000001" customHeight="1" x14ac:dyDescent="0.25">
      <c r="A326" s="206">
        <f t="shared" si="30"/>
        <v>289</v>
      </c>
      <c r="B326" s="288" t="s">
        <v>888</v>
      </c>
      <c r="C326" s="274" t="s">
        <v>834</v>
      </c>
      <c r="D326" s="264" t="s">
        <v>993</v>
      </c>
      <c r="E326" s="291">
        <v>281</v>
      </c>
      <c r="F326" s="264" t="s">
        <v>465</v>
      </c>
      <c r="G326" s="265">
        <v>140</v>
      </c>
      <c r="H326" s="265">
        <v>22.07</v>
      </c>
      <c r="I326" s="341">
        <f t="shared" si="31"/>
        <v>3089.8</v>
      </c>
      <c r="J326" s="362"/>
      <c r="L326" s="180"/>
      <c r="M326" s="180"/>
    </row>
    <row r="327" spans="1:13" s="181" customFormat="1" ht="20.100000000000001" customHeight="1" x14ac:dyDescent="0.25">
      <c r="A327" s="206">
        <f t="shared" si="30"/>
        <v>290</v>
      </c>
      <c r="B327" s="288" t="s">
        <v>889</v>
      </c>
      <c r="C327" s="274" t="s">
        <v>835</v>
      </c>
      <c r="D327" s="264" t="s">
        <v>993</v>
      </c>
      <c r="E327" s="291">
        <v>282</v>
      </c>
      <c r="F327" s="264" t="s">
        <v>465</v>
      </c>
      <c r="G327" s="265">
        <v>70</v>
      </c>
      <c r="H327" s="265">
        <v>38.409999999999997</v>
      </c>
      <c r="I327" s="341">
        <f t="shared" si="31"/>
        <v>2688.7</v>
      </c>
      <c r="J327" s="362"/>
      <c r="L327" s="180"/>
      <c r="M327" s="180"/>
    </row>
    <row r="328" spans="1:13" s="181" customFormat="1" ht="20.100000000000001" customHeight="1" x14ac:dyDescent="0.25">
      <c r="A328" s="206">
        <f t="shared" si="30"/>
        <v>291</v>
      </c>
      <c r="B328" s="288" t="s">
        <v>890</v>
      </c>
      <c r="C328" s="274" t="s">
        <v>836</v>
      </c>
      <c r="D328" s="264" t="s">
        <v>993</v>
      </c>
      <c r="E328" s="291">
        <v>283</v>
      </c>
      <c r="F328" s="264" t="s">
        <v>465</v>
      </c>
      <c r="G328" s="265">
        <v>60</v>
      </c>
      <c r="H328" s="265">
        <v>44.16</v>
      </c>
      <c r="I328" s="341">
        <f t="shared" si="31"/>
        <v>2649.6</v>
      </c>
      <c r="J328" s="362"/>
      <c r="L328" s="180"/>
      <c r="M328" s="180"/>
    </row>
    <row r="329" spans="1:13" s="181" customFormat="1" ht="20.100000000000001" customHeight="1" x14ac:dyDescent="0.25">
      <c r="A329" s="206">
        <f t="shared" si="30"/>
        <v>292</v>
      </c>
      <c r="B329" s="288" t="s">
        <v>891</v>
      </c>
      <c r="C329" s="274" t="s">
        <v>837</v>
      </c>
      <c r="D329" s="264" t="s">
        <v>993</v>
      </c>
      <c r="E329" s="291">
        <v>284</v>
      </c>
      <c r="F329" s="264" t="s">
        <v>465</v>
      </c>
      <c r="G329" s="265">
        <v>60</v>
      </c>
      <c r="H329" s="265">
        <v>10.15</v>
      </c>
      <c r="I329" s="341">
        <f t="shared" si="31"/>
        <v>609</v>
      </c>
      <c r="J329" s="362"/>
      <c r="L329" s="180"/>
      <c r="M329" s="180"/>
    </row>
    <row r="330" spans="1:13" s="181" customFormat="1" ht="20.100000000000001" customHeight="1" x14ac:dyDescent="0.25">
      <c r="A330" s="206">
        <f t="shared" si="30"/>
        <v>293</v>
      </c>
      <c r="B330" s="288" t="s">
        <v>892</v>
      </c>
      <c r="C330" s="274" t="s">
        <v>838</v>
      </c>
      <c r="D330" s="264" t="s">
        <v>989</v>
      </c>
      <c r="E330" s="291">
        <v>285</v>
      </c>
      <c r="F330" s="264" t="s">
        <v>465</v>
      </c>
      <c r="G330" s="265">
        <v>1400</v>
      </c>
      <c r="H330" s="265">
        <v>5.16</v>
      </c>
      <c r="I330" s="341">
        <f t="shared" si="31"/>
        <v>7224</v>
      </c>
      <c r="J330" s="362"/>
      <c r="L330" s="180"/>
      <c r="M330" s="180"/>
    </row>
    <row r="331" spans="1:13" s="181" customFormat="1" ht="20.100000000000001" customHeight="1" x14ac:dyDescent="0.25">
      <c r="A331" s="206">
        <f t="shared" si="30"/>
        <v>294</v>
      </c>
      <c r="B331" s="288" t="s">
        <v>893</v>
      </c>
      <c r="C331" s="274" t="s">
        <v>839</v>
      </c>
      <c r="D331" s="264" t="s">
        <v>989</v>
      </c>
      <c r="E331" s="291">
        <v>286</v>
      </c>
      <c r="F331" s="264" t="s">
        <v>465</v>
      </c>
      <c r="G331" s="265">
        <v>900</v>
      </c>
      <c r="H331" s="265">
        <v>5.53</v>
      </c>
      <c r="I331" s="341">
        <f t="shared" si="31"/>
        <v>4977</v>
      </c>
      <c r="J331" s="362"/>
      <c r="L331" s="180"/>
      <c r="M331" s="180"/>
    </row>
    <row r="332" spans="1:13" s="181" customFormat="1" ht="20.100000000000001" customHeight="1" x14ac:dyDescent="0.25">
      <c r="A332" s="206">
        <f t="shared" si="30"/>
        <v>295</v>
      </c>
      <c r="B332" s="288" t="s">
        <v>894</v>
      </c>
      <c r="C332" s="274" t="s">
        <v>840</v>
      </c>
      <c r="D332" s="264" t="s">
        <v>989</v>
      </c>
      <c r="E332" s="291">
        <v>287</v>
      </c>
      <c r="F332" s="264" t="s">
        <v>465</v>
      </c>
      <c r="G332" s="265">
        <v>100</v>
      </c>
      <c r="H332" s="265">
        <v>6.91</v>
      </c>
      <c r="I332" s="341">
        <f t="shared" si="31"/>
        <v>691</v>
      </c>
      <c r="J332" s="362"/>
      <c r="L332" s="180"/>
      <c r="M332" s="180"/>
    </row>
    <row r="333" spans="1:13" s="181" customFormat="1" ht="20.100000000000001" customHeight="1" x14ac:dyDescent="0.25">
      <c r="A333" s="206">
        <f t="shared" si="30"/>
        <v>296</v>
      </c>
      <c r="B333" s="288" t="s">
        <v>895</v>
      </c>
      <c r="C333" s="274" t="s">
        <v>841</v>
      </c>
      <c r="D333" s="264" t="s">
        <v>989</v>
      </c>
      <c r="E333" s="291">
        <v>288</v>
      </c>
      <c r="F333" s="264" t="s">
        <v>465</v>
      </c>
      <c r="G333" s="265">
        <v>30</v>
      </c>
      <c r="H333" s="265">
        <v>6.1</v>
      </c>
      <c r="I333" s="341">
        <f t="shared" si="31"/>
        <v>183</v>
      </c>
      <c r="J333" s="362"/>
      <c r="L333" s="180"/>
      <c r="M333" s="180"/>
    </row>
    <row r="334" spans="1:13" s="181" customFormat="1" ht="20.100000000000001" customHeight="1" x14ac:dyDescent="0.25">
      <c r="A334" s="206">
        <f t="shared" si="30"/>
        <v>297</v>
      </c>
      <c r="B334" s="270" t="s">
        <v>896</v>
      </c>
      <c r="C334" s="274" t="s">
        <v>842</v>
      </c>
      <c r="D334" s="264" t="s">
        <v>989</v>
      </c>
      <c r="E334" s="291">
        <v>289</v>
      </c>
      <c r="F334" s="264" t="s">
        <v>465</v>
      </c>
      <c r="G334" s="265">
        <v>60</v>
      </c>
      <c r="H334" s="265">
        <v>6.62</v>
      </c>
      <c r="I334" s="341">
        <f t="shared" si="31"/>
        <v>397.2</v>
      </c>
      <c r="J334" s="362"/>
      <c r="L334" s="180"/>
      <c r="M334" s="180"/>
    </row>
    <row r="335" spans="1:13" s="181" customFormat="1" ht="20.100000000000001" customHeight="1" x14ac:dyDescent="0.25">
      <c r="A335" s="206">
        <f t="shared" si="30"/>
        <v>298</v>
      </c>
      <c r="B335" s="270" t="s">
        <v>897</v>
      </c>
      <c r="C335" s="207" t="s">
        <v>843</v>
      </c>
      <c r="D335" s="264" t="s">
        <v>989</v>
      </c>
      <c r="E335" s="291">
        <v>290</v>
      </c>
      <c r="F335" s="264" t="s">
        <v>465</v>
      </c>
      <c r="G335" s="265">
        <v>150</v>
      </c>
      <c r="H335" s="265">
        <v>7.72</v>
      </c>
      <c r="I335" s="341">
        <f t="shared" si="31"/>
        <v>1158</v>
      </c>
      <c r="J335" s="362"/>
      <c r="L335" s="180"/>
      <c r="M335" s="180"/>
    </row>
    <row r="336" spans="1:13" s="181" customFormat="1" ht="20.100000000000001" customHeight="1" x14ac:dyDescent="0.25">
      <c r="A336" s="206">
        <f t="shared" si="30"/>
        <v>299</v>
      </c>
      <c r="B336" s="270" t="s">
        <v>569</v>
      </c>
      <c r="C336" s="207"/>
      <c r="D336" s="264" t="s">
        <v>994</v>
      </c>
      <c r="E336" s="291">
        <v>291</v>
      </c>
      <c r="F336" s="264" t="s">
        <v>465</v>
      </c>
      <c r="G336" s="265">
        <v>166</v>
      </c>
      <c r="H336" s="265">
        <v>55</v>
      </c>
      <c r="I336" s="341">
        <f t="shared" si="31"/>
        <v>9130</v>
      </c>
      <c r="J336" s="362"/>
      <c r="L336" s="180"/>
      <c r="M336" s="180"/>
    </row>
    <row r="337" spans="1:13" s="181" customFormat="1" ht="20.100000000000001" customHeight="1" x14ac:dyDescent="0.25">
      <c r="A337" s="206">
        <f t="shared" si="30"/>
        <v>300</v>
      </c>
      <c r="B337" s="270" t="s">
        <v>570</v>
      </c>
      <c r="C337" s="207"/>
      <c r="D337" s="264" t="s">
        <v>994</v>
      </c>
      <c r="E337" s="291">
        <v>292</v>
      </c>
      <c r="F337" s="264" t="s">
        <v>465</v>
      </c>
      <c r="G337" s="265">
        <v>15</v>
      </c>
      <c r="H337" s="265">
        <v>42</v>
      </c>
      <c r="I337" s="341">
        <f t="shared" si="31"/>
        <v>630</v>
      </c>
      <c r="J337" s="362"/>
      <c r="L337" s="180"/>
      <c r="M337" s="180"/>
    </row>
    <row r="338" spans="1:13" s="181" customFormat="1" ht="20.100000000000001" customHeight="1" x14ac:dyDescent="0.25">
      <c r="A338" s="206">
        <f t="shared" si="30"/>
        <v>301</v>
      </c>
      <c r="B338" s="270" t="s">
        <v>571</v>
      </c>
      <c r="C338" s="207"/>
      <c r="D338" s="264" t="s">
        <v>994</v>
      </c>
      <c r="E338" s="291">
        <v>293</v>
      </c>
      <c r="F338" s="264" t="s">
        <v>189</v>
      </c>
      <c r="G338" s="265">
        <v>30</v>
      </c>
      <c r="H338" s="265">
        <v>95</v>
      </c>
      <c r="I338" s="341">
        <f t="shared" si="31"/>
        <v>2850</v>
      </c>
      <c r="J338" s="362"/>
      <c r="L338" s="180"/>
      <c r="M338" s="180"/>
    </row>
    <row r="339" spans="1:13" s="181" customFormat="1" ht="20.100000000000001" customHeight="1" x14ac:dyDescent="0.25">
      <c r="A339" s="206">
        <f t="shared" si="30"/>
        <v>302</v>
      </c>
      <c r="B339" s="270" t="s">
        <v>572</v>
      </c>
      <c r="C339" s="207"/>
      <c r="D339" s="264" t="s">
        <v>994</v>
      </c>
      <c r="E339" s="291">
        <v>294</v>
      </c>
      <c r="F339" s="264" t="s">
        <v>189</v>
      </c>
      <c r="G339" s="265">
        <v>1</v>
      </c>
      <c r="H339" s="265">
        <v>70</v>
      </c>
      <c r="I339" s="341">
        <f t="shared" si="31"/>
        <v>70</v>
      </c>
      <c r="J339" s="362"/>
      <c r="L339" s="180"/>
      <c r="M339" s="180"/>
    </row>
    <row r="340" spans="1:13" s="181" customFormat="1" ht="20.100000000000001" customHeight="1" x14ac:dyDescent="0.25">
      <c r="A340" s="206">
        <f t="shared" si="30"/>
        <v>303</v>
      </c>
      <c r="B340" s="270" t="s">
        <v>573</v>
      </c>
      <c r="C340" s="207"/>
      <c r="D340" s="264" t="s">
        <v>994</v>
      </c>
      <c r="E340" s="291">
        <v>295</v>
      </c>
      <c r="F340" s="264" t="s">
        <v>189</v>
      </c>
      <c r="G340" s="265">
        <v>54</v>
      </c>
      <c r="H340" s="265">
        <v>55</v>
      </c>
      <c r="I340" s="341">
        <f t="shared" si="31"/>
        <v>2970</v>
      </c>
      <c r="J340" s="362"/>
      <c r="L340" s="180"/>
      <c r="M340" s="180"/>
    </row>
    <row r="341" spans="1:13" s="181" customFormat="1" ht="20.100000000000001" customHeight="1" x14ac:dyDescent="0.25">
      <c r="A341" s="206">
        <f t="shared" si="30"/>
        <v>304</v>
      </c>
      <c r="B341" s="270" t="s">
        <v>574</v>
      </c>
      <c r="C341" s="207"/>
      <c r="D341" s="264" t="s">
        <v>994</v>
      </c>
      <c r="E341" s="291">
        <v>296</v>
      </c>
      <c r="F341" s="264" t="s">
        <v>189</v>
      </c>
      <c r="G341" s="265">
        <v>1</v>
      </c>
      <c r="H341" s="265">
        <v>35</v>
      </c>
      <c r="I341" s="341">
        <f t="shared" si="31"/>
        <v>35</v>
      </c>
      <c r="J341" s="362"/>
      <c r="L341" s="180"/>
      <c r="M341" s="180"/>
    </row>
    <row r="342" spans="1:13" s="181" customFormat="1" ht="20.100000000000001" customHeight="1" x14ac:dyDescent="0.25">
      <c r="A342" s="206">
        <f t="shared" si="30"/>
        <v>305</v>
      </c>
      <c r="B342" s="270" t="s">
        <v>575</v>
      </c>
      <c r="C342" s="207"/>
      <c r="D342" s="264" t="s">
        <v>994</v>
      </c>
      <c r="E342" s="291">
        <v>297</v>
      </c>
      <c r="F342" s="264" t="s">
        <v>189</v>
      </c>
      <c r="G342" s="265">
        <v>31</v>
      </c>
      <c r="H342" s="265">
        <v>42</v>
      </c>
      <c r="I342" s="341">
        <f t="shared" si="31"/>
        <v>1302</v>
      </c>
      <c r="J342" s="362"/>
      <c r="L342" s="180"/>
      <c r="M342" s="180"/>
    </row>
    <row r="343" spans="1:13" s="181" customFormat="1" ht="20.100000000000001" customHeight="1" x14ac:dyDescent="0.25">
      <c r="A343" s="206">
        <f t="shared" si="30"/>
        <v>306</v>
      </c>
      <c r="B343" s="263" t="s">
        <v>576</v>
      </c>
      <c r="C343" s="291" t="s">
        <v>844</v>
      </c>
      <c r="D343" s="264" t="s">
        <v>994</v>
      </c>
      <c r="E343" s="291">
        <v>298</v>
      </c>
      <c r="F343" s="264" t="s">
        <v>465</v>
      </c>
      <c r="G343" s="265">
        <v>950</v>
      </c>
      <c r="H343" s="265">
        <v>6.57</v>
      </c>
      <c r="I343" s="341">
        <f t="shared" si="31"/>
        <v>6241.5</v>
      </c>
      <c r="J343" s="362"/>
    </row>
    <row r="344" spans="1:13" s="181" customFormat="1" ht="20.100000000000001" customHeight="1" x14ac:dyDescent="0.25">
      <c r="A344" s="206">
        <f t="shared" si="30"/>
        <v>307</v>
      </c>
      <c r="B344" s="270" t="s">
        <v>577</v>
      </c>
      <c r="C344" s="207" t="s">
        <v>845</v>
      </c>
      <c r="D344" s="264" t="s">
        <v>994</v>
      </c>
      <c r="E344" s="291">
        <v>299</v>
      </c>
      <c r="F344" s="264" t="s">
        <v>465</v>
      </c>
      <c r="G344" s="265">
        <v>1040</v>
      </c>
      <c r="H344" s="265">
        <v>7.32</v>
      </c>
      <c r="I344" s="341">
        <f t="shared" si="31"/>
        <v>7612.8</v>
      </c>
      <c r="J344" s="362"/>
      <c r="L344" s="180"/>
      <c r="M344" s="180"/>
    </row>
    <row r="345" spans="1:13" s="181" customFormat="1" ht="20.100000000000001" customHeight="1" x14ac:dyDescent="0.25">
      <c r="A345" s="206">
        <f t="shared" si="30"/>
        <v>308</v>
      </c>
      <c r="B345" s="270" t="s">
        <v>578</v>
      </c>
      <c r="C345" s="207" t="s">
        <v>846</v>
      </c>
      <c r="D345" s="264" t="s">
        <v>994</v>
      </c>
      <c r="E345" s="291">
        <v>300</v>
      </c>
      <c r="F345" s="264" t="s">
        <v>465</v>
      </c>
      <c r="G345" s="265">
        <v>450</v>
      </c>
      <c r="H345" s="265">
        <v>7.73</v>
      </c>
      <c r="I345" s="341">
        <f t="shared" si="31"/>
        <v>3478.5</v>
      </c>
      <c r="J345" s="362"/>
      <c r="L345" s="180"/>
      <c r="M345" s="180"/>
    </row>
    <row r="346" spans="1:13" s="181" customFormat="1" ht="20.100000000000001" customHeight="1" x14ac:dyDescent="0.25">
      <c r="A346" s="206">
        <f t="shared" si="30"/>
        <v>309</v>
      </c>
      <c r="B346" s="270" t="s">
        <v>579</v>
      </c>
      <c r="C346" s="207" t="s">
        <v>847</v>
      </c>
      <c r="D346" s="264" t="s">
        <v>994</v>
      </c>
      <c r="E346" s="291">
        <v>301</v>
      </c>
      <c r="F346" s="264" t="s">
        <v>465</v>
      </c>
      <c r="G346" s="265">
        <v>40</v>
      </c>
      <c r="H346" s="265">
        <v>10.32</v>
      </c>
      <c r="I346" s="341">
        <f t="shared" si="31"/>
        <v>412.8</v>
      </c>
      <c r="J346" s="362"/>
      <c r="L346" s="180"/>
      <c r="M346" s="180"/>
    </row>
    <row r="347" spans="1:13" s="181" customFormat="1" ht="20.100000000000001" customHeight="1" x14ac:dyDescent="0.25">
      <c r="A347" s="206">
        <f t="shared" si="30"/>
        <v>310</v>
      </c>
      <c r="B347" s="270" t="s">
        <v>580</v>
      </c>
      <c r="C347" s="289" t="s">
        <v>848</v>
      </c>
      <c r="D347" s="264" t="s">
        <v>994</v>
      </c>
      <c r="E347" s="291">
        <v>302</v>
      </c>
      <c r="F347" s="264" t="s">
        <v>465</v>
      </c>
      <c r="G347" s="265">
        <v>110</v>
      </c>
      <c r="H347" s="265">
        <v>11.61</v>
      </c>
      <c r="I347" s="341">
        <f t="shared" si="31"/>
        <v>1277.0999999999999</v>
      </c>
      <c r="J347" s="362"/>
      <c r="L347" s="180"/>
      <c r="M347" s="180"/>
    </row>
    <row r="348" spans="1:13" s="181" customFormat="1" ht="20.100000000000001" customHeight="1" x14ac:dyDescent="0.25">
      <c r="A348" s="206">
        <f t="shared" si="30"/>
        <v>311</v>
      </c>
      <c r="B348" s="270" t="s">
        <v>581</v>
      </c>
      <c r="C348" s="207" t="s">
        <v>1187</v>
      </c>
      <c r="D348" s="264" t="s">
        <v>995</v>
      </c>
      <c r="E348" s="291">
        <v>303</v>
      </c>
      <c r="F348" s="264" t="s">
        <v>465</v>
      </c>
      <c r="G348" s="265">
        <v>70</v>
      </c>
      <c r="H348" s="265">
        <v>6.4</v>
      </c>
      <c r="I348" s="341">
        <f t="shared" si="31"/>
        <v>448</v>
      </c>
      <c r="J348" s="362"/>
      <c r="L348" s="180"/>
      <c r="M348" s="180"/>
    </row>
    <row r="349" spans="1:13" s="181" customFormat="1" ht="20.100000000000001" customHeight="1" x14ac:dyDescent="0.25">
      <c r="A349" s="206">
        <f t="shared" si="30"/>
        <v>312</v>
      </c>
      <c r="B349" s="263" t="s">
        <v>582</v>
      </c>
      <c r="C349" s="291" t="s">
        <v>1188</v>
      </c>
      <c r="D349" s="264" t="s">
        <v>995</v>
      </c>
      <c r="E349" s="291">
        <v>304</v>
      </c>
      <c r="F349" s="264" t="s">
        <v>465</v>
      </c>
      <c r="G349" s="265">
        <v>40</v>
      </c>
      <c r="H349" s="330">
        <v>7.5</v>
      </c>
      <c r="I349" s="341">
        <f>G349*H349</f>
        <v>300</v>
      </c>
      <c r="J349" s="362"/>
    </row>
    <row r="350" spans="1:13" s="181" customFormat="1" ht="20.100000000000001" customHeight="1" x14ac:dyDescent="0.25">
      <c r="A350" s="206">
        <f t="shared" si="30"/>
        <v>313</v>
      </c>
      <c r="B350" s="270" t="s">
        <v>583</v>
      </c>
      <c r="C350" s="289" t="s">
        <v>849</v>
      </c>
      <c r="D350" s="264" t="s">
        <v>996</v>
      </c>
      <c r="E350" s="291">
        <v>305</v>
      </c>
      <c r="F350" s="264" t="s">
        <v>189</v>
      </c>
      <c r="G350" s="265">
        <v>3</v>
      </c>
      <c r="H350" s="294">
        <v>750</v>
      </c>
      <c r="I350" s="341">
        <f t="shared" ref="I350:I396" si="32">G350*H350</f>
        <v>2250</v>
      </c>
      <c r="J350" s="362"/>
      <c r="L350" s="180"/>
      <c r="M350" s="180"/>
    </row>
    <row r="351" spans="1:13" s="181" customFormat="1" ht="20.100000000000001" customHeight="1" x14ac:dyDescent="0.25">
      <c r="A351" s="206">
        <f t="shared" si="30"/>
        <v>314</v>
      </c>
      <c r="B351" s="270" t="s">
        <v>584</v>
      </c>
      <c r="C351" s="292" t="s">
        <v>850</v>
      </c>
      <c r="D351" s="293" t="s">
        <v>997</v>
      </c>
      <c r="E351" s="291">
        <v>306</v>
      </c>
      <c r="F351" s="264" t="s">
        <v>189</v>
      </c>
      <c r="G351" s="265">
        <v>3</v>
      </c>
      <c r="H351" s="294">
        <v>231.17</v>
      </c>
      <c r="I351" s="341">
        <f t="shared" si="32"/>
        <v>693.51</v>
      </c>
      <c r="J351" s="362"/>
      <c r="L351" s="180"/>
      <c r="M351" s="180"/>
    </row>
    <row r="352" spans="1:13" s="181" customFormat="1" ht="20.100000000000001" customHeight="1" x14ac:dyDescent="0.25">
      <c r="A352" s="206">
        <f t="shared" si="30"/>
        <v>315</v>
      </c>
      <c r="B352" s="270" t="s">
        <v>585</v>
      </c>
      <c r="C352" s="207" t="s">
        <v>1190</v>
      </c>
      <c r="D352" s="264" t="s">
        <v>996</v>
      </c>
      <c r="E352" s="291">
        <v>307</v>
      </c>
      <c r="F352" s="264" t="s">
        <v>189</v>
      </c>
      <c r="G352" s="265">
        <v>2</v>
      </c>
      <c r="H352" s="294">
        <v>120.05</v>
      </c>
      <c r="I352" s="341">
        <f t="shared" si="32"/>
        <v>240.1</v>
      </c>
      <c r="J352" s="362"/>
      <c r="L352" s="180"/>
      <c r="M352" s="180"/>
    </row>
    <row r="353" spans="1:13" s="181" customFormat="1" ht="20.100000000000001" customHeight="1" x14ac:dyDescent="0.25">
      <c r="A353" s="206">
        <f t="shared" si="30"/>
        <v>316</v>
      </c>
      <c r="B353" s="270" t="s">
        <v>586</v>
      </c>
      <c r="C353" s="274" t="s">
        <v>1191</v>
      </c>
      <c r="D353" s="264" t="s">
        <v>996</v>
      </c>
      <c r="E353" s="291">
        <v>308</v>
      </c>
      <c r="F353" s="264" t="s">
        <v>189</v>
      </c>
      <c r="G353" s="265">
        <v>1</v>
      </c>
      <c r="H353" s="294">
        <v>147.4</v>
      </c>
      <c r="I353" s="341">
        <f t="shared" si="32"/>
        <v>147.4</v>
      </c>
      <c r="J353" s="362"/>
      <c r="L353" s="180"/>
      <c r="M353" s="180"/>
    </row>
    <row r="354" spans="1:13" s="181" customFormat="1" ht="20.100000000000001" customHeight="1" x14ac:dyDescent="0.25">
      <c r="A354" s="206">
        <f t="shared" si="30"/>
        <v>317</v>
      </c>
      <c r="B354" s="270" t="s">
        <v>587</v>
      </c>
      <c r="C354" s="274"/>
      <c r="D354" s="264"/>
      <c r="E354" s="291">
        <v>309</v>
      </c>
      <c r="F354" s="264" t="s">
        <v>189</v>
      </c>
      <c r="G354" s="265">
        <v>1</v>
      </c>
      <c r="H354" s="294">
        <v>600</v>
      </c>
      <c r="I354" s="341">
        <f t="shared" si="32"/>
        <v>600</v>
      </c>
      <c r="J354" s="362"/>
      <c r="L354" s="180"/>
      <c r="M354" s="180"/>
    </row>
    <row r="355" spans="1:13" s="181" customFormat="1" ht="20.100000000000001" customHeight="1" x14ac:dyDescent="0.25">
      <c r="A355" s="206">
        <f t="shared" si="30"/>
        <v>318</v>
      </c>
      <c r="B355" s="270" t="s">
        <v>588</v>
      </c>
      <c r="C355" s="292" t="s">
        <v>851</v>
      </c>
      <c r="D355" s="293" t="s">
        <v>998</v>
      </c>
      <c r="E355" s="291">
        <v>310</v>
      </c>
      <c r="F355" s="264" t="s">
        <v>465</v>
      </c>
      <c r="G355" s="265">
        <v>6</v>
      </c>
      <c r="H355" s="294">
        <v>32.21</v>
      </c>
      <c r="I355" s="341">
        <f t="shared" si="32"/>
        <v>193.26</v>
      </c>
      <c r="J355" s="362"/>
      <c r="L355" s="180"/>
      <c r="M355" s="180"/>
    </row>
    <row r="356" spans="1:13" s="181" customFormat="1" ht="20.100000000000001" customHeight="1" x14ac:dyDescent="0.25">
      <c r="A356" s="206">
        <f t="shared" ref="A356:A396" si="33">A355+1</f>
        <v>319</v>
      </c>
      <c r="B356" s="270" t="s">
        <v>589</v>
      </c>
      <c r="C356" s="292" t="s">
        <v>852</v>
      </c>
      <c r="D356" s="293" t="s">
        <v>998</v>
      </c>
      <c r="E356" s="291">
        <v>311</v>
      </c>
      <c r="F356" s="264" t="s">
        <v>465</v>
      </c>
      <c r="G356" s="265">
        <v>6</v>
      </c>
      <c r="H356" s="294">
        <v>21.66</v>
      </c>
      <c r="I356" s="341">
        <f t="shared" si="32"/>
        <v>129.96</v>
      </c>
      <c r="J356" s="362"/>
      <c r="L356" s="180"/>
      <c r="M356" s="180"/>
    </row>
    <row r="357" spans="1:13" s="181" customFormat="1" ht="20.100000000000001" customHeight="1" x14ac:dyDescent="0.25">
      <c r="A357" s="206">
        <f t="shared" si="33"/>
        <v>320</v>
      </c>
      <c r="B357" s="379" t="s">
        <v>590</v>
      </c>
      <c r="C357" s="274" t="s">
        <v>799</v>
      </c>
      <c r="D357" s="264"/>
      <c r="E357" s="291">
        <v>125</v>
      </c>
      <c r="F357" s="264" t="s">
        <v>618</v>
      </c>
      <c r="G357" s="265">
        <v>15</v>
      </c>
      <c r="H357" s="294">
        <v>22.97</v>
      </c>
      <c r="I357" s="341">
        <f t="shared" si="32"/>
        <v>344.54999999999995</v>
      </c>
      <c r="J357" s="362"/>
      <c r="L357" s="180"/>
      <c r="M357" s="180"/>
    </row>
    <row r="358" spans="1:13" s="181" customFormat="1" ht="20.100000000000001" customHeight="1" x14ac:dyDescent="0.25">
      <c r="A358" s="206">
        <f t="shared" si="33"/>
        <v>321</v>
      </c>
      <c r="B358" s="379" t="s">
        <v>591</v>
      </c>
      <c r="C358" s="275" t="s">
        <v>801</v>
      </c>
      <c r="D358" s="264" t="s">
        <v>899</v>
      </c>
      <c r="E358" s="291">
        <v>128</v>
      </c>
      <c r="F358" s="264" t="s">
        <v>466</v>
      </c>
      <c r="G358" s="265">
        <v>300</v>
      </c>
      <c r="H358" s="294">
        <v>1.99</v>
      </c>
      <c r="I358" s="341">
        <f t="shared" si="32"/>
        <v>597</v>
      </c>
      <c r="J358" s="362"/>
      <c r="L358" s="180"/>
      <c r="M358" s="180"/>
    </row>
    <row r="359" spans="1:13" s="181" customFormat="1" ht="20.100000000000001" customHeight="1" x14ac:dyDescent="0.25">
      <c r="A359" s="206">
        <f t="shared" si="33"/>
        <v>322</v>
      </c>
      <c r="B359" s="379" t="s">
        <v>592</v>
      </c>
      <c r="C359" s="276" t="s">
        <v>853</v>
      </c>
      <c r="D359" s="264" t="s">
        <v>991</v>
      </c>
      <c r="E359" s="291">
        <v>312</v>
      </c>
      <c r="F359" s="264" t="s">
        <v>189</v>
      </c>
      <c r="G359" s="265">
        <v>5</v>
      </c>
      <c r="H359" s="294">
        <v>71.8</v>
      </c>
      <c r="I359" s="341">
        <f t="shared" si="32"/>
        <v>359</v>
      </c>
      <c r="J359" s="362"/>
      <c r="L359" s="180"/>
      <c r="M359" s="180"/>
    </row>
    <row r="360" spans="1:13" s="181" customFormat="1" ht="20.100000000000001" customHeight="1" x14ac:dyDescent="0.25">
      <c r="A360" s="206">
        <f t="shared" si="33"/>
        <v>323</v>
      </c>
      <c r="B360" s="379" t="s">
        <v>593</v>
      </c>
      <c r="C360" s="274" t="s">
        <v>1189</v>
      </c>
      <c r="D360" s="264" t="s">
        <v>999</v>
      </c>
      <c r="E360" s="291">
        <v>313</v>
      </c>
      <c r="F360" s="264" t="s">
        <v>189</v>
      </c>
      <c r="G360" s="265">
        <v>5</v>
      </c>
      <c r="H360" s="294">
        <v>506</v>
      </c>
      <c r="I360" s="341">
        <f t="shared" si="32"/>
        <v>2530</v>
      </c>
      <c r="J360" s="362"/>
      <c r="L360" s="180"/>
      <c r="M360" s="180"/>
    </row>
    <row r="361" spans="1:13" s="181" customFormat="1" ht="20.100000000000001" customHeight="1" x14ac:dyDescent="0.25">
      <c r="A361" s="206">
        <f t="shared" si="33"/>
        <v>324</v>
      </c>
      <c r="B361" s="266" t="s">
        <v>594</v>
      </c>
      <c r="C361" s="274" t="s">
        <v>1193</v>
      </c>
      <c r="D361" s="264" t="s">
        <v>991</v>
      </c>
      <c r="E361" s="291">
        <v>314</v>
      </c>
      <c r="F361" s="264" t="s">
        <v>189</v>
      </c>
      <c r="G361" s="265">
        <v>7</v>
      </c>
      <c r="H361" s="294">
        <v>211.3</v>
      </c>
      <c r="I361" s="341">
        <f t="shared" si="32"/>
        <v>1479.1000000000001</v>
      </c>
      <c r="J361" s="362"/>
      <c r="L361" s="180"/>
      <c r="M361" s="180"/>
    </row>
    <row r="362" spans="1:13" s="181" customFormat="1" ht="20.100000000000001" customHeight="1" x14ac:dyDescent="0.25">
      <c r="A362" s="206">
        <f t="shared" si="33"/>
        <v>325</v>
      </c>
      <c r="B362" s="266" t="s">
        <v>595</v>
      </c>
      <c r="C362" s="274" t="s">
        <v>1194</v>
      </c>
      <c r="D362" s="264" t="s">
        <v>991</v>
      </c>
      <c r="E362" s="291">
        <v>315</v>
      </c>
      <c r="F362" s="264" t="s">
        <v>189</v>
      </c>
      <c r="G362" s="265">
        <v>5</v>
      </c>
      <c r="H362" s="409">
        <v>143.28</v>
      </c>
      <c r="I362" s="341">
        <f t="shared" si="32"/>
        <v>716.4</v>
      </c>
      <c r="J362" s="362"/>
      <c r="L362" s="180"/>
      <c r="M362" s="180"/>
    </row>
    <row r="363" spans="1:13" s="181" customFormat="1" ht="20.100000000000001" customHeight="1" x14ac:dyDescent="0.25">
      <c r="A363" s="206">
        <f t="shared" si="33"/>
        <v>326</v>
      </c>
      <c r="B363" s="266" t="s">
        <v>596</v>
      </c>
      <c r="C363" s="274"/>
      <c r="D363" s="264" t="s">
        <v>991</v>
      </c>
      <c r="E363" s="291">
        <v>316</v>
      </c>
      <c r="F363" s="264" t="s">
        <v>189</v>
      </c>
      <c r="G363" s="265">
        <v>8</v>
      </c>
      <c r="H363" s="294">
        <v>148.38</v>
      </c>
      <c r="I363" s="341">
        <f t="shared" si="32"/>
        <v>1187.04</v>
      </c>
      <c r="J363" s="362"/>
      <c r="L363" s="180"/>
      <c r="M363" s="180"/>
    </row>
    <row r="364" spans="1:13" s="181" customFormat="1" ht="20.100000000000001" customHeight="1" x14ac:dyDescent="0.25">
      <c r="A364" s="206">
        <f t="shared" si="33"/>
        <v>327</v>
      </c>
      <c r="B364" s="266" t="s">
        <v>597</v>
      </c>
      <c r="C364" s="274" t="s">
        <v>854</v>
      </c>
      <c r="D364" s="264" t="s">
        <v>1000</v>
      </c>
      <c r="E364" s="291">
        <v>317</v>
      </c>
      <c r="F364" s="264" t="s">
        <v>189</v>
      </c>
      <c r="G364" s="265">
        <v>7</v>
      </c>
      <c r="H364" s="409">
        <v>17.61</v>
      </c>
      <c r="I364" s="341">
        <f t="shared" si="32"/>
        <v>123.27</v>
      </c>
      <c r="J364" s="362"/>
      <c r="L364" s="180"/>
      <c r="M364" s="180"/>
    </row>
    <row r="365" spans="1:13" s="181" customFormat="1" ht="20.100000000000001" customHeight="1" x14ac:dyDescent="0.25">
      <c r="A365" s="206">
        <f t="shared" si="33"/>
        <v>328</v>
      </c>
      <c r="B365" s="266" t="s">
        <v>598</v>
      </c>
      <c r="C365" s="274" t="s">
        <v>855</v>
      </c>
      <c r="D365" s="264" t="s">
        <v>1000</v>
      </c>
      <c r="E365" s="291">
        <v>318</v>
      </c>
      <c r="F365" s="264" t="s">
        <v>189</v>
      </c>
      <c r="G365" s="265">
        <v>1</v>
      </c>
      <c r="H365" s="409">
        <v>12.15</v>
      </c>
      <c r="I365" s="341">
        <f t="shared" si="32"/>
        <v>12.15</v>
      </c>
      <c r="J365" s="362"/>
      <c r="L365" s="180"/>
      <c r="M365" s="180"/>
    </row>
    <row r="366" spans="1:13" s="181" customFormat="1" ht="20.100000000000001" customHeight="1" x14ac:dyDescent="0.25">
      <c r="A366" s="206">
        <f t="shared" si="33"/>
        <v>329</v>
      </c>
      <c r="B366" s="266" t="s">
        <v>1195</v>
      </c>
      <c r="C366" s="274" t="s">
        <v>856</v>
      </c>
      <c r="D366" s="264" t="s">
        <v>1000</v>
      </c>
      <c r="E366" s="291">
        <v>319</v>
      </c>
      <c r="F366" s="264" t="s">
        <v>189</v>
      </c>
      <c r="G366" s="265">
        <v>44</v>
      </c>
      <c r="H366" s="409">
        <v>13.5</v>
      </c>
      <c r="I366" s="341">
        <f t="shared" si="32"/>
        <v>594</v>
      </c>
      <c r="J366" s="362"/>
      <c r="L366" s="180"/>
      <c r="M366" s="180"/>
    </row>
    <row r="367" spans="1:13" s="181" customFormat="1" ht="20.100000000000001" customHeight="1" x14ac:dyDescent="0.25">
      <c r="A367" s="206">
        <f t="shared" si="33"/>
        <v>330</v>
      </c>
      <c r="B367" s="266" t="s">
        <v>599</v>
      </c>
      <c r="C367" s="275" t="s">
        <v>1196</v>
      </c>
      <c r="D367" s="264" t="s">
        <v>1000</v>
      </c>
      <c r="E367" s="291">
        <v>320</v>
      </c>
      <c r="F367" s="264" t="s">
        <v>189</v>
      </c>
      <c r="G367" s="265">
        <v>14</v>
      </c>
      <c r="H367" s="409">
        <v>16.059999999999999</v>
      </c>
      <c r="I367" s="341">
        <f t="shared" si="32"/>
        <v>224.83999999999997</v>
      </c>
      <c r="J367" s="362"/>
      <c r="L367" s="180"/>
      <c r="M367" s="180"/>
    </row>
    <row r="368" spans="1:13" s="181" customFormat="1" ht="20.100000000000001" customHeight="1" x14ac:dyDescent="0.25">
      <c r="A368" s="206">
        <f t="shared" si="33"/>
        <v>331</v>
      </c>
      <c r="B368" s="266" t="s">
        <v>600</v>
      </c>
      <c r="C368" s="274" t="s">
        <v>857</v>
      </c>
      <c r="D368" s="264" t="s">
        <v>877</v>
      </c>
      <c r="E368" s="291">
        <v>321</v>
      </c>
      <c r="F368" s="264" t="s">
        <v>189</v>
      </c>
      <c r="G368" s="265">
        <v>140</v>
      </c>
      <c r="H368" s="409">
        <v>4.79</v>
      </c>
      <c r="I368" s="341">
        <f t="shared" si="32"/>
        <v>670.6</v>
      </c>
      <c r="J368" s="362"/>
      <c r="L368" s="180"/>
      <c r="M368" s="180"/>
    </row>
    <row r="369" spans="1:13" s="181" customFormat="1" ht="20.100000000000001" customHeight="1" x14ac:dyDescent="0.25">
      <c r="A369" s="206">
        <f t="shared" si="33"/>
        <v>332</v>
      </c>
      <c r="B369" s="266" t="s">
        <v>601</v>
      </c>
      <c r="C369" s="274" t="s">
        <v>858</v>
      </c>
      <c r="D369" s="264" t="s">
        <v>877</v>
      </c>
      <c r="E369" s="291">
        <v>322</v>
      </c>
      <c r="F369" s="264" t="s">
        <v>189</v>
      </c>
      <c r="G369" s="265">
        <v>45</v>
      </c>
      <c r="H369" s="409">
        <v>5.54</v>
      </c>
      <c r="I369" s="341">
        <f t="shared" si="32"/>
        <v>249.3</v>
      </c>
      <c r="J369" s="362"/>
      <c r="L369" s="180"/>
      <c r="M369" s="180"/>
    </row>
    <row r="370" spans="1:13" s="181" customFormat="1" ht="20.100000000000001" customHeight="1" x14ac:dyDescent="0.25">
      <c r="A370" s="206">
        <f t="shared" si="33"/>
        <v>333</v>
      </c>
      <c r="B370" s="266" t="s">
        <v>602</v>
      </c>
      <c r="C370" s="292" t="s">
        <v>859</v>
      </c>
      <c r="D370" s="264" t="s">
        <v>991</v>
      </c>
      <c r="E370" s="291">
        <v>323</v>
      </c>
      <c r="F370" s="264" t="s">
        <v>189</v>
      </c>
      <c r="G370" s="265">
        <v>4</v>
      </c>
      <c r="H370" s="409">
        <v>491.7</v>
      </c>
      <c r="I370" s="341">
        <f t="shared" si="32"/>
        <v>1966.8</v>
      </c>
      <c r="J370" s="362"/>
      <c r="L370" s="180"/>
      <c r="M370" s="180"/>
    </row>
    <row r="371" spans="1:13" s="181" customFormat="1" ht="20.100000000000001" customHeight="1" thickBot="1" x14ac:dyDescent="0.3">
      <c r="A371" s="470">
        <f t="shared" si="33"/>
        <v>334</v>
      </c>
      <c r="B371" s="268" t="s">
        <v>1197</v>
      </c>
      <c r="C371" s="471" t="s">
        <v>859</v>
      </c>
      <c r="D371" s="201" t="s">
        <v>991</v>
      </c>
      <c r="E371" s="297">
        <v>324</v>
      </c>
      <c r="F371" s="201" t="s">
        <v>189</v>
      </c>
      <c r="G371" s="269">
        <v>3</v>
      </c>
      <c r="H371" s="472">
        <v>386.7</v>
      </c>
      <c r="I371" s="342">
        <f t="shared" si="32"/>
        <v>1160.0999999999999</v>
      </c>
      <c r="J371" s="363"/>
      <c r="L371" s="180"/>
      <c r="M371" s="180"/>
    </row>
    <row r="372" spans="1:13" s="181" customFormat="1" ht="24.9" customHeight="1" thickBot="1" x14ac:dyDescent="0.3">
      <c r="A372" s="475"/>
      <c r="B372" s="386"/>
      <c r="C372" s="519" t="s">
        <v>1241</v>
      </c>
      <c r="D372" s="517"/>
      <c r="E372" s="517"/>
      <c r="F372" s="517"/>
      <c r="G372" s="517"/>
      <c r="H372" s="518"/>
      <c r="I372" s="337">
        <f>SUM(I290:I371)</f>
        <v>129028.925</v>
      </c>
      <c r="J372" s="476">
        <f>I372-0.005</f>
        <v>129028.92</v>
      </c>
      <c r="L372" s="180"/>
      <c r="M372" s="180"/>
    </row>
    <row r="373" spans="1:13" s="181" customFormat="1" ht="20.100000000000001" customHeight="1" x14ac:dyDescent="0.25">
      <c r="A373" s="185"/>
      <c r="B373" s="175" t="s">
        <v>1258</v>
      </c>
      <c r="C373" s="473"/>
      <c r="D373" s="178"/>
      <c r="E373" s="279"/>
      <c r="F373" s="178"/>
      <c r="G373" s="108"/>
      <c r="H373" s="474"/>
      <c r="I373" s="344"/>
      <c r="J373" s="361"/>
      <c r="L373" s="180"/>
      <c r="M373" s="180"/>
    </row>
    <row r="374" spans="1:13" s="181" customFormat="1" ht="20.100000000000001" customHeight="1" x14ac:dyDescent="0.25">
      <c r="A374" s="206">
        <f>A371+1</f>
        <v>335</v>
      </c>
      <c r="B374" s="381" t="s">
        <v>603</v>
      </c>
      <c r="C374" s="292" t="s">
        <v>834</v>
      </c>
      <c r="D374" s="293" t="s">
        <v>993</v>
      </c>
      <c r="E374" s="291">
        <v>325</v>
      </c>
      <c r="F374" s="264" t="s">
        <v>189</v>
      </c>
      <c r="G374" s="265">
        <v>1</v>
      </c>
      <c r="H374" s="410">
        <v>551.24</v>
      </c>
      <c r="I374" s="341">
        <f t="shared" si="32"/>
        <v>551.24</v>
      </c>
      <c r="J374" s="362"/>
    </row>
    <row r="375" spans="1:13" s="181" customFormat="1" ht="20.100000000000001" customHeight="1" x14ac:dyDescent="0.25">
      <c r="A375" s="206">
        <f t="shared" si="33"/>
        <v>336</v>
      </c>
      <c r="B375" s="381" t="s">
        <v>604</v>
      </c>
      <c r="C375" s="292" t="s">
        <v>841</v>
      </c>
      <c r="D375" s="293" t="s">
        <v>989</v>
      </c>
      <c r="E375" s="291">
        <v>326</v>
      </c>
      <c r="F375" s="264" t="s">
        <v>189</v>
      </c>
      <c r="G375" s="265">
        <v>9</v>
      </c>
      <c r="H375" s="409">
        <v>7.64</v>
      </c>
      <c r="I375" s="341">
        <f t="shared" si="32"/>
        <v>68.759999999999991</v>
      </c>
      <c r="J375" s="362"/>
      <c r="L375" s="180"/>
      <c r="M375" s="180"/>
    </row>
    <row r="376" spans="1:13" s="181" customFormat="1" ht="20.100000000000001" customHeight="1" x14ac:dyDescent="0.25">
      <c r="A376" s="206">
        <f t="shared" si="33"/>
        <v>337</v>
      </c>
      <c r="B376" s="381" t="s">
        <v>559</v>
      </c>
      <c r="C376" s="292" t="s">
        <v>860</v>
      </c>
      <c r="D376" s="293" t="s">
        <v>989</v>
      </c>
      <c r="E376" s="291">
        <v>327</v>
      </c>
      <c r="F376" s="264" t="s">
        <v>189</v>
      </c>
      <c r="G376" s="265">
        <v>3</v>
      </c>
      <c r="H376" s="409">
        <v>26.51</v>
      </c>
      <c r="I376" s="341">
        <f t="shared" si="32"/>
        <v>79.53</v>
      </c>
      <c r="J376" s="362"/>
      <c r="L376" s="180"/>
      <c r="M376" s="180"/>
    </row>
    <row r="377" spans="1:13" s="181" customFormat="1" ht="20.100000000000001" customHeight="1" x14ac:dyDescent="0.25">
      <c r="A377" s="206">
        <f t="shared" si="33"/>
        <v>338</v>
      </c>
      <c r="B377" s="288" t="s">
        <v>605</v>
      </c>
      <c r="C377" s="274" t="s">
        <v>828</v>
      </c>
      <c r="D377" s="264" t="s">
        <v>993</v>
      </c>
      <c r="E377" s="291">
        <v>328</v>
      </c>
      <c r="F377" s="264" t="s">
        <v>189</v>
      </c>
      <c r="G377" s="265">
        <v>2</v>
      </c>
      <c r="H377" s="409">
        <v>1500</v>
      </c>
      <c r="I377" s="341">
        <f t="shared" si="32"/>
        <v>3000</v>
      </c>
      <c r="J377" s="362"/>
      <c r="L377" s="180"/>
      <c r="M377" s="180"/>
    </row>
    <row r="378" spans="1:13" s="181" customFormat="1" ht="20.100000000000001" customHeight="1" x14ac:dyDescent="0.25">
      <c r="A378" s="206">
        <f t="shared" si="33"/>
        <v>339</v>
      </c>
      <c r="B378" s="381" t="s">
        <v>606</v>
      </c>
      <c r="C378" s="275" t="s">
        <v>844</v>
      </c>
      <c r="D378" s="264" t="s">
        <v>877</v>
      </c>
      <c r="E378" s="291">
        <v>271</v>
      </c>
      <c r="F378" s="264" t="s">
        <v>189</v>
      </c>
      <c r="G378" s="265">
        <v>6</v>
      </c>
      <c r="H378" s="330">
        <v>100.27500000000001</v>
      </c>
      <c r="I378" s="341">
        <f t="shared" si="32"/>
        <v>601.65000000000009</v>
      </c>
      <c r="J378" s="362"/>
    </row>
    <row r="379" spans="1:13" s="181" customFormat="1" ht="20.100000000000001" customHeight="1" x14ac:dyDescent="0.25">
      <c r="A379" s="206">
        <f t="shared" si="33"/>
        <v>340</v>
      </c>
      <c r="B379" s="288" t="s">
        <v>607</v>
      </c>
      <c r="C379" s="274" t="s">
        <v>1193</v>
      </c>
      <c r="D379" s="264" t="s">
        <v>991</v>
      </c>
      <c r="E379" s="291">
        <v>314</v>
      </c>
      <c r="F379" s="264" t="s">
        <v>189</v>
      </c>
      <c r="G379" s="265">
        <v>2</v>
      </c>
      <c r="H379" s="409">
        <v>211.3</v>
      </c>
      <c r="I379" s="341">
        <f t="shared" si="32"/>
        <v>422.6</v>
      </c>
      <c r="J379" s="362"/>
      <c r="L379" s="180"/>
      <c r="M379" s="180"/>
    </row>
    <row r="380" spans="1:13" s="181" customFormat="1" ht="20.100000000000001" customHeight="1" x14ac:dyDescent="0.25">
      <c r="A380" s="206">
        <f t="shared" si="33"/>
        <v>341</v>
      </c>
      <c r="B380" s="381" t="s">
        <v>595</v>
      </c>
      <c r="C380" s="274" t="s">
        <v>1194</v>
      </c>
      <c r="D380" s="264" t="s">
        <v>991</v>
      </c>
      <c r="E380" s="291">
        <v>315</v>
      </c>
      <c r="F380" s="264" t="s">
        <v>189</v>
      </c>
      <c r="G380" s="265">
        <v>2</v>
      </c>
      <c r="H380" s="409">
        <v>143.28</v>
      </c>
      <c r="I380" s="341">
        <f t="shared" si="32"/>
        <v>286.56</v>
      </c>
      <c r="J380" s="362"/>
      <c r="L380" s="180"/>
      <c r="M380" s="180"/>
    </row>
    <row r="381" spans="1:13" s="181" customFormat="1" ht="20.100000000000001" customHeight="1" x14ac:dyDescent="0.25">
      <c r="A381" s="206">
        <f t="shared" si="33"/>
        <v>342</v>
      </c>
      <c r="B381" s="288" t="s">
        <v>608</v>
      </c>
      <c r="C381" s="274" t="s">
        <v>856</v>
      </c>
      <c r="D381" s="264" t="s">
        <v>1000</v>
      </c>
      <c r="E381" s="291">
        <v>317</v>
      </c>
      <c r="F381" s="264" t="s">
        <v>189</v>
      </c>
      <c r="G381" s="265">
        <v>2</v>
      </c>
      <c r="H381" s="409">
        <v>17.61</v>
      </c>
      <c r="I381" s="341">
        <f t="shared" si="32"/>
        <v>35.22</v>
      </c>
      <c r="J381" s="362"/>
      <c r="L381" s="180"/>
      <c r="M381" s="180"/>
    </row>
    <row r="382" spans="1:13" s="181" customFormat="1" ht="20.100000000000001" customHeight="1" x14ac:dyDescent="0.25">
      <c r="A382" s="206">
        <f t="shared" si="33"/>
        <v>343</v>
      </c>
      <c r="B382" s="288" t="s">
        <v>609</v>
      </c>
      <c r="C382" s="274" t="s">
        <v>856</v>
      </c>
      <c r="D382" s="264" t="s">
        <v>1000</v>
      </c>
      <c r="E382" s="291">
        <v>319</v>
      </c>
      <c r="F382" s="264" t="s">
        <v>189</v>
      </c>
      <c r="G382" s="265">
        <v>6</v>
      </c>
      <c r="H382" s="409">
        <v>13.5</v>
      </c>
      <c r="I382" s="341">
        <f t="shared" si="32"/>
        <v>81</v>
      </c>
      <c r="J382" s="362"/>
      <c r="L382" s="180"/>
      <c r="M382" s="180"/>
    </row>
    <row r="383" spans="1:13" s="181" customFormat="1" ht="20.100000000000001" customHeight="1" x14ac:dyDescent="0.25">
      <c r="A383" s="206">
        <f t="shared" si="33"/>
        <v>344</v>
      </c>
      <c r="B383" s="382" t="s">
        <v>898</v>
      </c>
      <c r="C383" s="274" t="s">
        <v>828</v>
      </c>
      <c r="D383" s="264" t="s">
        <v>993</v>
      </c>
      <c r="E383" s="291">
        <v>275</v>
      </c>
      <c r="F383" s="264" t="s">
        <v>465</v>
      </c>
      <c r="G383" s="265">
        <v>10</v>
      </c>
      <c r="H383" s="411">
        <v>5.93</v>
      </c>
      <c r="I383" s="341">
        <f t="shared" si="32"/>
        <v>59.3</v>
      </c>
      <c r="J383" s="362"/>
    </row>
    <row r="384" spans="1:13" s="181" customFormat="1" ht="20.100000000000001" customHeight="1" x14ac:dyDescent="0.25">
      <c r="A384" s="206">
        <f t="shared" si="33"/>
        <v>345</v>
      </c>
      <c r="B384" s="383" t="s">
        <v>610</v>
      </c>
      <c r="C384" s="274" t="s">
        <v>834</v>
      </c>
      <c r="D384" s="264" t="s">
        <v>993</v>
      </c>
      <c r="E384" s="291">
        <v>281</v>
      </c>
      <c r="F384" s="264" t="s">
        <v>465</v>
      </c>
      <c r="G384" s="265">
        <v>40</v>
      </c>
      <c r="H384" s="265">
        <v>22.07</v>
      </c>
      <c r="I384" s="341">
        <f t="shared" si="32"/>
        <v>882.8</v>
      </c>
      <c r="J384" s="362"/>
      <c r="L384" s="180"/>
      <c r="M384" s="180"/>
    </row>
    <row r="385" spans="1:13" s="181" customFormat="1" ht="20.100000000000001" customHeight="1" x14ac:dyDescent="0.25">
      <c r="A385" s="206">
        <f t="shared" si="33"/>
        <v>346</v>
      </c>
      <c r="B385" s="383" t="s">
        <v>611</v>
      </c>
      <c r="C385" s="274" t="s">
        <v>841</v>
      </c>
      <c r="D385" s="264" t="s">
        <v>989</v>
      </c>
      <c r="E385" s="291">
        <v>288</v>
      </c>
      <c r="F385" s="264" t="s">
        <v>465</v>
      </c>
      <c r="G385" s="265">
        <v>30</v>
      </c>
      <c r="H385" s="265">
        <v>6.1</v>
      </c>
      <c r="I385" s="341">
        <f t="shared" si="32"/>
        <v>183</v>
      </c>
      <c r="J385" s="362"/>
      <c r="L385" s="180"/>
      <c r="M385" s="180"/>
    </row>
    <row r="386" spans="1:13" s="181" customFormat="1" ht="20.100000000000001" customHeight="1" x14ac:dyDescent="0.25">
      <c r="A386" s="206">
        <f t="shared" si="33"/>
        <v>347</v>
      </c>
      <c r="B386" s="382" t="s">
        <v>612</v>
      </c>
      <c r="C386" s="275" t="s">
        <v>838</v>
      </c>
      <c r="D386" s="264" t="s">
        <v>989</v>
      </c>
      <c r="E386" s="291">
        <v>285</v>
      </c>
      <c r="F386" s="264" t="s">
        <v>465</v>
      </c>
      <c r="G386" s="265">
        <v>30</v>
      </c>
      <c r="H386" s="265">
        <v>5.16</v>
      </c>
      <c r="I386" s="341">
        <f t="shared" si="32"/>
        <v>154.80000000000001</v>
      </c>
      <c r="J386" s="362"/>
      <c r="L386" s="180"/>
      <c r="M386" s="180"/>
    </row>
    <row r="387" spans="1:13" s="181" customFormat="1" ht="20.100000000000001" customHeight="1" x14ac:dyDescent="0.25">
      <c r="A387" s="206">
        <f t="shared" si="33"/>
        <v>348</v>
      </c>
      <c r="B387" s="382" t="s">
        <v>613</v>
      </c>
      <c r="C387" s="275" t="s">
        <v>839</v>
      </c>
      <c r="D387" s="264" t="s">
        <v>989</v>
      </c>
      <c r="E387" s="291">
        <v>286</v>
      </c>
      <c r="F387" s="264" t="s">
        <v>465</v>
      </c>
      <c r="G387" s="265">
        <v>50</v>
      </c>
      <c r="H387" s="265">
        <v>5.53</v>
      </c>
      <c r="I387" s="341">
        <f t="shared" si="32"/>
        <v>276.5</v>
      </c>
      <c r="J387" s="362"/>
      <c r="L387" s="180"/>
      <c r="M387" s="180"/>
    </row>
    <row r="388" spans="1:13" s="181" customFormat="1" ht="20.100000000000001" customHeight="1" x14ac:dyDescent="0.25">
      <c r="A388" s="206">
        <f t="shared" si="33"/>
        <v>349</v>
      </c>
      <c r="B388" s="382" t="s">
        <v>576</v>
      </c>
      <c r="C388" s="275" t="s">
        <v>844</v>
      </c>
      <c r="D388" s="264" t="s">
        <v>877</v>
      </c>
      <c r="E388" s="291">
        <v>298</v>
      </c>
      <c r="F388" s="264" t="s">
        <v>465</v>
      </c>
      <c r="G388" s="265">
        <v>120</v>
      </c>
      <c r="H388" s="265">
        <v>6.57</v>
      </c>
      <c r="I388" s="341">
        <f t="shared" si="32"/>
        <v>788.40000000000009</v>
      </c>
      <c r="J388" s="362"/>
      <c r="L388" s="180"/>
      <c r="M388" s="180"/>
    </row>
    <row r="389" spans="1:13" s="181" customFormat="1" ht="20.100000000000001" customHeight="1" x14ac:dyDescent="0.25">
      <c r="A389" s="206">
        <f t="shared" si="33"/>
        <v>350</v>
      </c>
      <c r="B389" s="382" t="s">
        <v>578</v>
      </c>
      <c r="C389" s="291" t="s">
        <v>846</v>
      </c>
      <c r="D389" s="264" t="s">
        <v>994</v>
      </c>
      <c r="E389" s="291">
        <v>300</v>
      </c>
      <c r="F389" s="264" t="s">
        <v>465</v>
      </c>
      <c r="G389" s="265">
        <v>30</v>
      </c>
      <c r="H389" s="265">
        <v>7.73</v>
      </c>
      <c r="I389" s="341">
        <f t="shared" si="32"/>
        <v>231.9</v>
      </c>
      <c r="J389" s="362"/>
      <c r="L389" s="180"/>
      <c r="M389" s="180"/>
    </row>
    <row r="390" spans="1:13" s="181" customFormat="1" ht="20.100000000000001" customHeight="1" x14ac:dyDescent="0.25">
      <c r="A390" s="206">
        <f t="shared" si="33"/>
        <v>351</v>
      </c>
      <c r="B390" s="382" t="s">
        <v>579</v>
      </c>
      <c r="C390" s="275" t="s">
        <v>861</v>
      </c>
      <c r="D390" s="264" t="s">
        <v>877</v>
      </c>
      <c r="E390" s="291">
        <v>301</v>
      </c>
      <c r="F390" s="264" t="s">
        <v>465</v>
      </c>
      <c r="G390" s="265">
        <v>40</v>
      </c>
      <c r="H390" s="265">
        <v>10.32</v>
      </c>
      <c r="I390" s="341">
        <f t="shared" si="32"/>
        <v>412.8</v>
      </c>
      <c r="J390" s="362"/>
      <c r="L390" s="180"/>
      <c r="M390" s="180"/>
    </row>
    <row r="391" spans="1:13" s="181" customFormat="1" ht="20.100000000000001" customHeight="1" x14ac:dyDescent="0.25">
      <c r="A391" s="206">
        <f t="shared" si="33"/>
        <v>352</v>
      </c>
      <c r="B391" s="383" t="s">
        <v>580</v>
      </c>
      <c r="C391" s="207" t="s">
        <v>848</v>
      </c>
      <c r="D391" s="264" t="s">
        <v>877</v>
      </c>
      <c r="E391" s="291">
        <v>302</v>
      </c>
      <c r="F391" s="264" t="s">
        <v>465</v>
      </c>
      <c r="G391" s="265">
        <v>15</v>
      </c>
      <c r="H391" s="265">
        <v>11.61</v>
      </c>
      <c r="I391" s="341">
        <f t="shared" si="32"/>
        <v>174.14999999999998</v>
      </c>
      <c r="J391" s="362"/>
      <c r="L391" s="180"/>
      <c r="M391" s="180"/>
    </row>
    <row r="392" spans="1:13" s="181" customFormat="1" ht="20.100000000000001" customHeight="1" x14ac:dyDescent="0.25">
      <c r="A392" s="206">
        <f t="shared" si="33"/>
        <v>353</v>
      </c>
      <c r="B392" s="383" t="s">
        <v>614</v>
      </c>
      <c r="C392" s="274" t="s">
        <v>857</v>
      </c>
      <c r="D392" s="264" t="s">
        <v>877</v>
      </c>
      <c r="E392" s="291">
        <v>321</v>
      </c>
      <c r="F392" s="264" t="s">
        <v>189</v>
      </c>
      <c r="G392" s="265">
        <v>20</v>
      </c>
      <c r="H392" s="265">
        <v>4.79</v>
      </c>
      <c r="I392" s="341">
        <f>G392*H392</f>
        <v>95.8</v>
      </c>
      <c r="J392" s="362"/>
      <c r="L392" s="180"/>
      <c r="M392" s="180"/>
    </row>
    <row r="393" spans="1:13" s="181" customFormat="1" ht="20.100000000000001" customHeight="1" x14ac:dyDescent="0.25">
      <c r="A393" s="206">
        <f t="shared" si="33"/>
        <v>354</v>
      </c>
      <c r="B393" s="383" t="s">
        <v>615</v>
      </c>
      <c r="C393" s="274" t="s">
        <v>858</v>
      </c>
      <c r="D393" s="264" t="s">
        <v>877</v>
      </c>
      <c r="E393" s="291">
        <v>322</v>
      </c>
      <c r="F393" s="264" t="s">
        <v>189</v>
      </c>
      <c r="G393" s="265">
        <v>10</v>
      </c>
      <c r="H393" s="265">
        <v>5.54</v>
      </c>
      <c r="I393" s="341">
        <f t="shared" si="32"/>
        <v>55.4</v>
      </c>
      <c r="J393" s="362"/>
      <c r="L393" s="180"/>
      <c r="M393" s="180"/>
    </row>
    <row r="394" spans="1:13" s="181" customFormat="1" ht="20.100000000000001" customHeight="1" x14ac:dyDescent="0.25">
      <c r="A394" s="206">
        <f t="shared" si="33"/>
        <v>355</v>
      </c>
      <c r="B394" s="383" t="s">
        <v>616</v>
      </c>
      <c r="C394" s="292"/>
      <c r="D394" s="264" t="s">
        <v>1001</v>
      </c>
      <c r="E394" s="291">
        <v>329</v>
      </c>
      <c r="F394" s="264" t="s">
        <v>189</v>
      </c>
      <c r="G394" s="265">
        <v>1</v>
      </c>
      <c r="H394" s="265">
        <v>4500</v>
      </c>
      <c r="I394" s="341">
        <f t="shared" si="32"/>
        <v>4500</v>
      </c>
      <c r="J394" s="362"/>
      <c r="L394" s="180"/>
      <c r="M394" s="180"/>
    </row>
    <row r="395" spans="1:13" s="181" customFormat="1" ht="20.100000000000001" customHeight="1" x14ac:dyDescent="0.25">
      <c r="A395" s="206">
        <f t="shared" si="33"/>
        <v>356</v>
      </c>
      <c r="B395" s="383" t="s">
        <v>617</v>
      </c>
      <c r="C395" s="276" t="s">
        <v>862</v>
      </c>
      <c r="D395" s="264" t="s">
        <v>991</v>
      </c>
      <c r="E395" s="291">
        <v>262</v>
      </c>
      <c r="F395" s="264" t="s">
        <v>189</v>
      </c>
      <c r="G395" s="265">
        <v>1</v>
      </c>
      <c r="H395" s="265">
        <v>159.6</v>
      </c>
      <c r="I395" s="341">
        <f t="shared" si="32"/>
        <v>159.6</v>
      </c>
      <c r="J395" s="362"/>
      <c r="L395" s="180"/>
      <c r="M395" s="180"/>
    </row>
    <row r="396" spans="1:13" s="181" customFormat="1" ht="20.100000000000001" customHeight="1" thickBot="1" x14ac:dyDescent="0.3">
      <c r="A396" s="206">
        <f t="shared" si="33"/>
        <v>357</v>
      </c>
      <c r="B396" s="266" t="s">
        <v>602</v>
      </c>
      <c r="C396" s="413" t="s">
        <v>859</v>
      </c>
      <c r="D396" s="201" t="s">
        <v>991</v>
      </c>
      <c r="E396" s="291">
        <v>323</v>
      </c>
      <c r="F396" s="201" t="s">
        <v>189</v>
      </c>
      <c r="G396" s="269">
        <v>4</v>
      </c>
      <c r="H396" s="269">
        <v>491.7</v>
      </c>
      <c r="I396" s="342">
        <f t="shared" si="32"/>
        <v>1966.8</v>
      </c>
      <c r="J396" s="363"/>
      <c r="L396" s="180"/>
      <c r="M396" s="180"/>
    </row>
    <row r="397" spans="1:13" s="181" customFormat="1" ht="24.9" customHeight="1" thickBot="1" x14ac:dyDescent="0.3">
      <c r="A397" s="184"/>
      <c r="B397" s="384"/>
      <c r="C397" s="519" t="s">
        <v>1259</v>
      </c>
      <c r="D397" s="517"/>
      <c r="E397" s="517"/>
      <c r="F397" s="517"/>
      <c r="G397" s="517"/>
      <c r="H397" s="518"/>
      <c r="I397" s="337">
        <f>SUM(I374:I396)</f>
        <v>15067.810000000001</v>
      </c>
      <c r="J397" s="357">
        <f>I397</f>
        <v>15067.810000000001</v>
      </c>
      <c r="L397" s="180"/>
      <c r="M397" s="180"/>
    </row>
    <row r="398" spans="1:13" s="181" customFormat="1" ht="20.100000000000001" customHeight="1" x14ac:dyDescent="0.25">
      <c r="A398" s="185"/>
      <c r="B398" s="200" t="s">
        <v>1260</v>
      </c>
      <c r="C398" s="176"/>
      <c r="D398" s="177"/>
      <c r="E398" s="321"/>
      <c r="F398" s="177"/>
      <c r="G398" s="109"/>
      <c r="H398" s="109"/>
      <c r="I398" s="343"/>
      <c r="J398" s="361"/>
      <c r="L398" s="180"/>
      <c r="M398" s="180"/>
    </row>
    <row r="399" spans="1:13" s="181" customFormat="1" ht="20.100000000000001" customHeight="1" x14ac:dyDescent="0.25">
      <c r="A399" s="185">
        <f>A396+1</f>
        <v>358</v>
      </c>
      <c r="B399" s="270" t="s">
        <v>961</v>
      </c>
      <c r="C399" s="274" t="s">
        <v>771</v>
      </c>
      <c r="D399" s="264"/>
      <c r="E399" s="279">
        <v>125</v>
      </c>
      <c r="F399" s="219" t="s">
        <v>618</v>
      </c>
      <c r="G399" s="108">
        <v>18.48</v>
      </c>
      <c r="H399" s="108">
        <v>22.97</v>
      </c>
      <c r="I399" s="344">
        <f>H399*G399</f>
        <v>424.48559999999998</v>
      </c>
      <c r="J399" s="361"/>
      <c r="L399" s="180"/>
      <c r="M399" s="180"/>
    </row>
    <row r="400" spans="1:13" s="181" customFormat="1" ht="20.100000000000001" customHeight="1" x14ac:dyDescent="0.25">
      <c r="A400" s="185">
        <f>A399+1</f>
        <v>359</v>
      </c>
      <c r="B400" s="270" t="s">
        <v>962</v>
      </c>
      <c r="C400" s="274" t="s">
        <v>964</v>
      </c>
      <c r="D400" s="264"/>
      <c r="E400" s="279">
        <v>330</v>
      </c>
      <c r="F400" s="298" t="s">
        <v>189</v>
      </c>
      <c r="G400" s="108">
        <v>5</v>
      </c>
      <c r="H400" s="108">
        <v>76.16</v>
      </c>
      <c r="I400" s="344">
        <f t="shared" ref="I400:I401" si="34">H400*G400</f>
        <v>380.79999999999995</v>
      </c>
      <c r="J400" s="361"/>
      <c r="L400" s="180"/>
      <c r="M400" s="180"/>
    </row>
    <row r="401" spans="1:13" s="181" customFormat="1" ht="20.100000000000001" customHeight="1" x14ac:dyDescent="0.25">
      <c r="A401" s="185">
        <f t="shared" ref="A401:A413" si="35">A400+1</f>
        <v>360</v>
      </c>
      <c r="B401" s="270" t="s">
        <v>963</v>
      </c>
      <c r="C401" s="274" t="s">
        <v>801</v>
      </c>
      <c r="D401" s="264" t="s">
        <v>1192</v>
      </c>
      <c r="E401" s="279">
        <v>128</v>
      </c>
      <c r="F401" s="299" t="s">
        <v>466</v>
      </c>
      <c r="G401" s="108">
        <v>25</v>
      </c>
      <c r="H401" s="108">
        <v>1.99</v>
      </c>
      <c r="I401" s="344">
        <f t="shared" si="34"/>
        <v>49.75</v>
      </c>
      <c r="J401" s="361"/>
      <c r="L401" s="180"/>
      <c r="M401" s="180"/>
    </row>
    <row r="402" spans="1:13" s="181" customFormat="1" ht="22.5" customHeight="1" x14ac:dyDescent="0.25">
      <c r="A402" s="185">
        <f t="shared" si="35"/>
        <v>361</v>
      </c>
      <c r="B402" s="270" t="s">
        <v>454</v>
      </c>
      <c r="C402" s="289" t="s">
        <v>863</v>
      </c>
      <c r="D402" s="264"/>
      <c r="E402" s="279">
        <v>331</v>
      </c>
      <c r="F402" s="178" t="s">
        <v>465</v>
      </c>
      <c r="G402" s="108">
        <v>150</v>
      </c>
      <c r="H402" s="330">
        <v>6.42</v>
      </c>
      <c r="I402" s="344">
        <f>G402*H402</f>
        <v>963</v>
      </c>
      <c r="J402" s="362"/>
      <c r="L402" s="180"/>
      <c r="M402" s="180"/>
    </row>
    <row r="403" spans="1:13" s="181" customFormat="1" ht="22.5" customHeight="1" x14ac:dyDescent="0.25">
      <c r="A403" s="185">
        <f t="shared" si="35"/>
        <v>362</v>
      </c>
      <c r="B403" s="270" t="s">
        <v>455</v>
      </c>
      <c r="C403" s="289" t="s">
        <v>864</v>
      </c>
      <c r="D403" s="264"/>
      <c r="E403" s="291">
        <v>332</v>
      </c>
      <c r="F403" s="264" t="s">
        <v>189</v>
      </c>
      <c r="G403" s="265">
        <v>2</v>
      </c>
      <c r="H403" s="330">
        <v>133.35</v>
      </c>
      <c r="I403" s="341">
        <f t="shared" ref="I403:I413" si="36">G403*H403</f>
        <v>266.7</v>
      </c>
      <c r="J403" s="362"/>
      <c r="L403" s="180"/>
      <c r="M403" s="180"/>
    </row>
    <row r="404" spans="1:13" s="181" customFormat="1" ht="22.5" customHeight="1" x14ac:dyDescent="0.25">
      <c r="A404" s="185">
        <f t="shared" si="35"/>
        <v>363</v>
      </c>
      <c r="B404" s="270" t="s">
        <v>456</v>
      </c>
      <c r="C404" s="289" t="s">
        <v>865</v>
      </c>
      <c r="D404" s="264"/>
      <c r="E404" s="291">
        <v>333</v>
      </c>
      <c r="F404" s="264" t="s">
        <v>189</v>
      </c>
      <c r="G404" s="265">
        <v>30</v>
      </c>
      <c r="H404" s="330">
        <v>6.87</v>
      </c>
      <c r="I404" s="341">
        <f t="shared" si="36"/>
        <v>206.1</v>
      </c>
      <c r="J404" s="362"/>
      <c r="L404" s="180"/>
      <c r="M404" s="180"/>
    </row>
    <row r="405" spans="1:13" s="181" customFormat="1" ht="22.5" customHeight="1" x14ac:dyDescent="0.25">
      <c r="A405" s="185">
        <f t="shared" si="35"/>
        <v>364</v>
      </c>
      <c r="B405" s="270" t="s">
        <v>457</v>
      </c>
      <c r="C405" s="289" t="s">
        <v>866</v>
      </c>
      <c r="D405" s="264"/>
      <c r="E405" s="291">
        <v>334</v>
      </c>
      <c r="F405" s="264" t="s">
        <v>189</v>
      </c>
      <c r="G405" s="265">
        <v>120</v>
      </c>
      <c r="H405" s="330">
        <v>8.27</v>
      </c>
      <c r="I405" s="341">
        <f t="shared" si="36"/>
        <v>992.4</v>
      </c>
      <c r="J405" s="362"/>
      <c r="L405" s="180"/>
      <c r="M405" s="180"/>
    </row>
    <row r="406" spans="1:13" s="181" customFormat="1" ht="22.5" customHeight="1" x14ac:dyDescent="0.25">
      <c r="A406" s="185">
        <f t="shared" si="35"/>
        <v>365</v>
      </c>
      <c r="B406" s="270" t="s">
        <v>1269</v>
      </c>
      <c r="C406" s="289" t="s">
        <v>867</v>
      </c>
      <c r="D406" s="264"/>
      <c r="E406" s="291">
        <v>335</v>
      </c>
      <c r="F406" s="264" t="s">
        <v>465</v>
      </c>
      <c r="G406" s="265">
        <v>20</v>
      </c>
      <c r="H406" s="330">
        <v>7.14</v>
      </c>
      <c r="I406" s="341">
        <f t="shared" si="36"/>
        <v>142.79999999999998</v>
      </c>
      <c r="J406" s="362"/>
      <c r="L406" s="180"/>
      <c r="M406" s="180"/>
    </row>
    <row r="407" spans="1:13" s="181" customFormat="1" ht="22.5" customHeight="1" x14ac:dyDescent="0.25">
      <c r="A407" s="185">
        <f t="shared" si="35"/>
        <v>366</v>
      </c>
      <c r="B407" s="270" t="s">
        <v>458</v>
      </c>
      <c r="C407" s="289" t="s">
        <v>868</v>
      </c>
      <c r="D407" s="264"/>
      <c r="E407" s="291">
        <v>336</v>
      </c>
      <c r="F407" s="264" t="s">
        <v>465</v>
      </c>
      <c r="G407" s="265">
        <v>72.099999999999994</v>
      </c>
      <c r="H407" s="330">
        <v>8.8699999999999992</v>
      </c>
      <c r="I407" s="341">
        <f t="shared" si="36"/>
        <v>639.52699999999993</v>
      </c>
      <c r="J407" s="362"/>
      <c r="L407" s="180"/>
      <c r="M407" s="180"/>
    </row>
    <row r="408" spans="1:13" s="181" customFormat="1" ht="22.5" customHeight="1" x14ac:dyDescent="0.25">
      <c r="A408" s="185">
        <f t="shared" si="35"/>
        <v>367</v>
      </c>
      <c r="B408" s="270" t="s">
        <v>459</v>
      </c>
      <c r="C408" s="289" t="s">
        <v>869</v>
      </c>
      <c r="D408" s="264"/>
      <c r="E408" s="291">
        <v>337</v>
      </c>
      <c r="F408" s="264" t="s">
        <v>189</v>
      </c>
      <c r="G408" s="265">
        <v>5</v>
      </c>
      <c r="H408" s="331">
        <v>8.36</v>
      </c>
      <c r="I408" s="341">
        <f t="shared" si="36"/>
        <v>41.8</v>
      </c>
      <c r="J408" s="362"/>
      <c r="L408" s="180"/>
      <c r="M408" s="180"/>
    </row>
    <row r="409" spans="1:13" s="180" customFormat="1" ht="22.5" customHeight="1" x14ac:dyDescent="0.25">
      <c r="A409" s="185">
        <f t="shared" si="35"/>
        <v>368</v>
      </c>
      <c r="B409" s="270" t="s">
        <v>460</v>
      </c>
      <c r="C409" s="207"/>
      <c r="D409" s="264"/>
      <c r="E409" s="291">
        <v>338</v>
      </c>
      <c r="F409" s="264" t="s">
        <v>189</v>
      </c>
      <c r="G409" s="265">
        <v>5</v>
      </c>
      <c r="H409" s="331">
        <v>18.46</v>
      </c>
      <c r="I409" s="341">
        <f t="shared" si="36"/>
        <v>92.300000000000011</v>
      </c>
      <c r="J409" s="365"/>
    </row>
    <row r="410" spans="1:13" s="180" customFormat="1" ht="22.5" customHeight="1" x14ac:dyDescent="0.25">
      <c r="A410" s="185">
        <f t="shared" si="35"/>
        <v>369</v>
      </c>
      <c r="B410" s="270" t="s">
        <v>461</v>
      </c>
      <c r="C410" s="289" t="s">
        <v>870</v>
      </c>
      <c r="D410" s="264"/>
      <c r="E410" s="291">
        <v>339</v>
      </c>
      <c r="F410" s="264" t="s">
        <v>465</v>
      </c>
      <c r="G410" s="265">
        <v>2</v>
      </c>
      <c r="H410" s="331">
        <v>20.18</v>
      </c>
      <c r="I410" s="341">
        <f t="shared" si="36"/>
        <v>40.36</v>
      </c>
      <c r="J410" s="362"/>
      <c r="K410" s="186"/>
    </row>
    <row r="411" spans="1:13" s="180" customFormat="1" ht="22.5" customHeight="1" x14ac:dyDescent="0.25">
      <c r="A411" s="185">
        <f t="shared" si="35"/>
        <v>370</v>
      </c>
      <c r="B411" s="270" t="s">
        <v>462</v>
      </c>
      <c r="C411" s="207" t="s">
        <v>871</v>
      </c>
      <c r="D411" s="264"/>
      <c r="E411" s="291">
        <v>340</v>
      </c>
      <c r="F411" s="264" t="s">
        <v>189</v>
      </c>
      <c r="G411" s="265">
        <v>5</v>
      </c>
      <c r="H411" s="330">
        <v>29.01</v>
      </c>
      <c r="I411" s="341">
        <f t="shared" si="36"/>
        <v>145.05000000000001</v>
      </c>
      <c r="J411" s="365"/>
    </row>
    <row r="412" spans="1:13" s="180" customFormat="1" ht="22.5" customHeight="1" x14ac:dyDescent="0.25">
      <c r="A412" s="185">
        <f t="shared" si="35"/>
        <v>371</v>
      </c>
      <c r="B412" s="270" t="s">
        <v>463</v>
      </c>
      <c r="C412" s="289" t="s">
        <v>872</v>
      </c>
      <c r="D412" s="264"/>
      <c r="E412" s="291">
        <v>341</v>
      </c>
      <c r="F412" s="264" t="s">
        <v>189</v>
      </c>
      <c r="G412" s="265">
        <v>3</v>
      </c>
      <c r="H412" s="330">
        <v>212.33</v>
      </c>
      <c r="I412" s="341">
        <f t="shared" si="36"/>
        <v>636.99</v>
      </c>
      <c r="J412" s="365"/>
    </row>
    <row r="413" spans="1:13" s="180" customFormat="1" ht="22.5" customHeight="1" thickBot="1" x14ac:dyDescent="0.3">
      <c r="A413" s="185">
        <f t="shared" si="35"/>
        <v>372</v>
      </c>
      <c r="B413" s="385" t="s">
        <v>464</v>
      </c>
      <c r="C413" s="278"/>
      <c r="D413" s="201"/>
      <c r="E413" s="291">
        <v>342</v>
      </c>
      <c r="F413" s="201" t="s">
        <v>189</v>
      </c>
      <c r="G413" s="269">
        <v>10</v>
      </c>
      <c r="H413" s="334">
        <v>103.66</v>
      </c>
      <c r="I413" s="342">
        <f t="shared" si="36"/>
        <v>1036.5999999999999</v>
      </c>
      <c r="J413" s="366"/>
    </row>
    <row r="414" spans="1:13" s="180" customFormat="1" ht="24.9" customHeight="1" thickBot="1" x14ac:dyDescent="0.3">
      <c r="A414" s="300"/>
      <c r="B414" s="386"/>
      <c r="C414" s="525" t="s">
        <v>1242</v>
      </c>
      <c r="D414" s="517"/>
      <c r="E414" s="517"/>
      <c r="F414" s="517"/>
      <c r="G414" s="517"/>
      <c r="H414" s="518"/>
      <c r="I414" s="337">
        <f>SUM(I399:I413)</f>
        <v>6058.6625999999997</v>
      </c>
      <c r="J414" s="367">
        <f>I414</f>
        <v>6058.6625999999997</v>
      </c>
    </row>
    <row r="415" spans="1:13" s="181" customFormat="1" ht="20.100000000000001" customHeight="1" x14ac:dyDescent="0.25">
      <c r="A415" s="185"/>
      <c r="B415" s="200" t="s">
        <v>1261</v>
      </c>
      <c r="C415" s="176"/>
      <c r="D415" s="177"/>
      <c r="E415" s="321"/>
      <c r="F415" s="177"/>
      <c r="G415" s="109"/>
      <c r="H415" s="109"/>
      <c r="I415" s="343"/>
      <c r="J415" s="361"/>
      <c r="L415" s="180"/>
      <c r="M415" s="180"/>
    </row>
    <row r="416" spans="1:13" s="181" customFormat="1" ht="20.100000000000001" customHeight="1" x14ac:dyDescent="0.25">
      <c r="A416" s="206">
        <f>A413+1</f>
        <v>373</v>
      </c>
      <c r="B416" s="266" t="s">
        <v>1223</v>
      </c>
      <c r="C416" s="207" t="s">
        <v>951</v>
      </c>
      <c r="D416" s="219" t="s">
        <v>875</v>
      </c>
      <c r="E416" s="291">
        <v>343</v>
      </c>
      <c r="F416" s="264" t="s">
        <v>189</v>
      </c>
      <c r="G416" s="265">
        <v>1</v>
      </c>
      <c r="H416" s="265">
        <v>3000</v>
      </c>
      <c r="I416" s="341">
        <f>G416*H416</f>
        <v>3000</v>
      </c>
      <c r="J416" s="362"/>
      <c r="L416" s="180"/>
      <c r="M416" s="180"/>
    </row>
    <row r="417" spans="1:13" s="181" customFormat="1" ht="20.100000000000001" customHeight="1" x14ac:dyDescent="0.25">
      <c r="A417" s="206">
        <f>A416+1</f>
        <v>374</v>
      </c>
      <c r="B417" s="266" t="s">
        <v>467</v>
      </c>
      <c r="C417" s="207" t="s">
        <v>952</v>
      </c>
      <c r="D417" s="219" t="s">
        <v>875</v>
      </c>
      <c r="E417" s="291">
        <v>344</v>
      </c>
      <c r="F417" s="264" t="s">
        <v>189</v>
      </c>
      <c r="G417" s="265">
        <v>2</v>
      </c>
      <c r="H417" s="265">
        <v>1282.6500000000001</v>
      </c>
      <c r="I417" s="341">
        <f t="shared" ref="I417:I426" si="37">G417*H417</f>
        <v>2565.3000000000002</v>
      </c>
      <c r="J417" s="362"/>
      <c r="L417" s="180"/>
      <c r="M417" s="180"/>
    </row>
    <row r="418" spans="1:13" s="181" customFormat="1" ht="20.100000000000001" customHeight="1" x14ac:dyDescent="0.25">
      <c r="A418" s="206">
        <f t="shared" ref="A418:A426" si="38">A417+1</f>
        <v>375</v>
      </c>
      <c r="B418" s="266" t="s">
        <v>468</v>
      </c>
      <c r="C418" s="207" t="s">
        <v>953</v>
      </c>
      <c r="D418" s="219" t="s">
        <v>875</v>
      </c>
      <c r="E418" s="291">
        <v>345</v>
      </c>
      <c r="F418" s="264" t="s">
        <v>189</v>
      </c>
      <c r="G418" s="265">
        <v>1</v>
      </c>
      <c r="H418" s="265">
        <v>126.58</v>
      </c>
      <c r="I418" s="341">
        <v>126.58</v>
      </c>
      <c r="J418" s="362"/>
      <c r="L418" s="180"/>
      <c r="M418" s="180"/>
    </row>
    <row r="419" spans="1:13" s="181" customFormat="1" ht="20.100000000000001" customHeight="1" x14ac:dyDescent="0.25">
      <c r="A419" s="206">
        <f t="shared" si="38"/>
        <v>376</v>
      </c>
      <c r="B419" s="266" t="s">
        <v>469</v>
      </c>
      <c r="C419" s="207" t="s">
        <v>957</v>
      </c>
      <c r="D419" s="293" t="s">
        <v>876</v>
      </c>
      <c r="E419" s="291">
        <v>346</v>
      </c>
      <c r="F419" s="264" t="s">
        <v>189</v>
      </c>
      <c r="G419" s="265">
        <v>20</v>
      </c>
      <c r="H419" s="265">
        <v>14.26</v>
      </c>
      <c r="I419" s="341">
        <f t="shared" si="37"/>
        <v>285.2</v>
      </c>
      <c r="J419" s="362"/>
      <c r="L419" s="180"/>
      <c r="M419" s="180"/>
    </row>
    <row r="420" spans="1:13" s="181" customFormat="1" ht="20.100000000000001" customHeight="1" x14ac:dyDescent="0.25">
      <c r="A420" s="206">
        <f t="shared" si="38"/>
        <v>377</v>
      </c>
      <c r="B420" s="266" t="s">
        <v>470</v>
      </c>
      <c r="C420" s="207" t="s">
        <v>956</v>
      </c>
      <c r="D420" s="293" t="s">
        <v>874</v>
      </c>
      <c r="E420" s="291">
        <v>347</v>
      </c>
      <c r="F420" s="264" t="s">
        <v>189</v>
      </c>
      <c r="G420" s="265">
        <v>17</v>
      </c>
      <c r="H420" s="265">
        <v>15.63</v>
      </c>
      <c r="I420" s="341">
        <f t="shared" si="37"/>
        <v>265.71000000000004</v>
      </c>
      <c r="J420" s="362"/>
      <c r="L420" s="180"/>
      <c r="M420" s="180"/>
    </row>
    <row r="421" spans="1:13" s="181" customFormat="1" ht="20.100000000000001" customHeight="1" x14ac:dyDescent="0.25">
      <c r="A421" s="206">
        <f t="shared" si="38"/>
        <v>378</v>
      </c>
      <c r="B421" s="266" t="s">
        <v>471</v>
      </c>
      <c r="C421" s="207" t="s">
        <v>954</v>
      </c>
      <c r="D421" s="293" t="s">
        <v>874</v>
      </c>
      <c r="E421" s="291">
        <v>348</v>
      </c>
      <c r="F421" s="264" t="s">
        <v>465</v>
      </c>
      <c r="G421" s="265">
        <v>100</v>
      </c>
      <c r="H421" s="265">
        <v>8.25</v>
      </c>
      <c r="I421" s="341">
        <f t="shared" si="37"/>
        <v>825</v>
      </c>
      <c r="J421" s="362"/>
      <c r="L421" s="180"/>
      <c r="M421" s="180"/>
    </row>
    <row r="422" spans="1:13" s="181" customFormat="1" ht="20.100000000000001" customHeight="1" x14ac:dyDescent="0.25">
      <c r="A422" s="206">
        <f t="shared" si="38"/>
        <v>379</v>
      </c>
      <c r="B422" s="174" t="s">
        <v>472</v>
      </c>
      <c r="C422" s="207" t="s">
        <v>958</v>
      </c>
      <c r="D422" s="293" t="s">
        <v>874</v>
      </c>
      <c r="E422" s="279">
        <v>349</v>
      </c>
      <c r="F422" s="264" t="s">
        <v>465</v>
      </c>
      <c r="G422" s="265">
        <v>100</v>
      </c>
      <c r="H422" s="265">
        <v>6.45</v>
      </c>
      <c r="I422" s="344">
        <f t="shared" si="37"/>
        <v>645</v>
      </c>
      <c r="J422" s="362"/>
      <c r="L422" s="180"/>
      <c r="M422" s="180"/>
    </row>
    <row r="423" spans="1:13" s="181" customFormat="1" ht="20.100000000000001" customHeight="1" x14ac:dyDescent="0.25">
      <c r="A423" s="206">
        <f t="shared" si="38"/>
        <v>380</v>
      </c>
      <c r="B423" s="174" t="s">
        <v>473</v>
      </c>
      <c r="C423" s="207" t="s">
        <v>959</v>
      </c>
      <c r="D423" s="293" t="s">
        <v>874</v>
      </c>
      <c r="E423" s="291">
        <v>350</v>
      </c>
      <c r="F423" s="264" t="s">
        <v>465</v>
      </c>
      <c r="G423" s="265">
        <v>900</v>
      </c>
      <c r="H423" s="265">
        <v>4.9400000000000004</v>
      </c>
      <c r="I423" s="344">
        <f t="shared" si="37"/>
        <v>4446</v>
      </c>
      <c r="J423" s="362"/>
      <c r="L423" s="180"/>
      <c r="M423" s="180"/>
    </row>
    <row r="424" spans="1:13" s="181" customFormat="1" ht="20.100000000000001" customHeight="1" x14ac:dyDescent="0.25">
      <c r="A424" s="206">
        <f t="shared" si="38"/>
        <v>381</v>
      </c>
      <c r="B424" s="174" t="s">
        <v>1148</v>
      </c>
      <c r="C424" s="207" t="s">
        <v>955</v>
      </c>
      <c r="D424" s="219" t="s">
        <v>877</v>
      </c>
      <c r="E424" s="291">
        <v>298</v>
      </c>
      <c r="F424" s="264" t="s">
        <v>465</v>
      </c>
      <c r="G424" s="265">
        <v>700</v>
      </c>
      <c r="H424" s="265">
        <v>6.57</v>
      </c>
      <c r="I424" s="344">
        <f t="shared" si="37"/>
        <v>4599</v>
      </c>
      <c r="J424" s="362"/>
      <c r="L424" s="180"/>
      <c r="M424" s="180"/>
    </row>
    <row r="425" spans="1:13" s="181" customFormat="1" ht="20.100000000000001" customHeight="1" x14ac:dyDescent="0.25">
      <c r="A425" s="206">
        <f t="shared" si="38"/>
        <v>382</v>
      </c>
      <c r="B425" s="174" t="s">
        <v>1206</v>
      </c>
      <c r="C425" s="207" t="s">
        <v>960</v>
      </c>
      <c r="D425" s="219" t="s">
        <v>877</v>
      </c>
      <c r="E425" s="291">
        <v>351</v>
      </c>
      <c r="F425" s="264" t="s">
        <v>465</v>
      </c>
      <c r="G425" s="265">
        <v>80</v>
      </c>
      <c r="H425" s="265">
        <v>32.71</v>
      </c>
      <c r="I425" s="344">
        <f t="shared" si="37"/>
        <v>2616.8000000000002</v>
      </c>
      <c r="J425" s="362"/>
      <c r="L425" s="180"/>
      <c r="M425" s="180"/>
    </row>
    <row r="426" spans="1:13" s="181" customFormat="1" ht="19.5" customHeight="1" thickBot="1" x14ac:dyDescent="0.3">
      <c r="A426" s="206">
        <f t="shared" si="38"/>
        <v>383</v>
      </c>
      <c r="B426" s="208" t="s">
        <v>474</v>
      </c>
      <c r="C426" s="394" t="s">
        <v>873</v>
      </c>
      <c r="D426" s="219" t="s">
        <v>876</v>
      </c>
      <c r="E426" s="297">
        <v>352</v>
      </c>
      <c r="F426" s="201" t="s">
        <v>189</v>
      </c>
      <c r="G426" s="269">
        <v>8</v>
      </c>
      <c r="H426" s="269">
        <v>62.02</v>
      </c>
      <c r="I426" s="345">
        <f t="shared" si="37"/>
        <v>496.16</v>
      </c>
      <c r="J426" s="363"/>
      <c r="L426" s="180"/>
      <c r="M426" s="180"/>
    </row>
    <row r="427" spans="1:13" s="181" customFormat="1" ht="24.9" customHeight="1" thickBot="1" x14ac:dyDescent="0.3">
      <c r="A427" s="184"/>
      <c r="B427" s="386"/>
      <c r="C427" s="525" t="s">
        <v>1243</v>
      </c>
      <c r="D427" s="517"/>
      <c r="E427" s="517"/>
      <c r="F427" s="517"/>
      <c r="G427" s="517"/>
      <c r="H427" s="518"/>
      <c r="I427" s="337">
        <f>SUM(I416:I426)</f>
        <v>19870.75</v>
      </c>
      <c r="J427" s="357">
        <f>I427</f>
        <v>19870.75</v>
      </c>
      <c r="L427" s="180"/>
      <c r="M427" s="180"/>
    </row>
    <row r="428" spans="1:13" s="181" customFormat="1" ht="20.100000000000001" customHeight="1" x14ac:dyDescent="0.25">
      <c r="A428" s="185"/>
      <c r="B428" s="175" t="s">
        <v>1262</v>
      </c>
      <c r="C428" s="273"/>
      <c r="D428" s="178"/>
      <c r="E428" s="279"/>
      <c r="F428" s="178"/>
      <c r="G428" s="108"/>
      <c r="H428" s="108"/>
      <c r="I428" s="347"/>
      <c r="J428" s="361"/>
      <c r="L428" s="180"/>
      <c r="M428" s="180"/>
    </row>
    <row r="429" spans="1:13" s="181" customFormat="1" ht="20.100000000000001" customHeight="1" x14ac:dyDescent="0.25">
      <c r="A429" s="206">
        <f>A426+1</f>
        <v>384</v>
      </c>
      <c r="B429" s="266" t="s">
        <v>637</v>
      </c>
      <c r="C429" s="207" t="s">
        <v>965</v>
      </c>
      <c r="D429" s="219" t="s">
        <v>977</v>
      </c>
      <c r="E429" s="291">
        <v>353</v>
      </c>
      <c r="F429" s="264" t="s">
        <v>189</v>
      </c>
      <c r="G429" s="265">
        <v>1</v>
      </c>
      <c r="H429" s="294">
        <v>1000</v>
      </c>
      <c r="I429" s="341">
        <f>G429*H429</f>
        <v>1000</v>
      </c>
      <c r="J429" s="362"/>
      <c r="L429" s="180"/>
      <c r="M429" s="180"/>
    </row>
    <row r="430" spans="1:13" s="181" customFormat="1" ht="20.100000000000001" customHeight="1" x14ac:dyDescent="0.25">
      <c r="A430" s="206">
        <f>A429+1</f>
        <v>385</v>
      </c>
      <c r="B430" s="266" t="s">
        <v>638</v>
      </c>
      <c r="C430" s="207" t="s">
        <v>966</v>
      </c>
      <c r="D430" s="219" t="s">
        <v>977</v>
      </c>
      <c r="E430" s="291">
        <v>354</v>
      </c>
      <c r="F430" s="264" t="s">
        <v>189</v>
      </c>
      <c r="G430" s="265">
        <v>1</v>
      </c>
      <c r="H430" s="294">
        <v>450</v>
      </c>
      <c r="I430" s="341">
        <f t="shared" ref="I430:I446" si="39">G430*H430</f>
        <v>450</v>
      </c>
      <c r="J430" s="362"/>
      <c r="L430" s="180"/>
      <c r="M430" s="180"/>
    </row>
    <row r="431" spans="1:13" s="181" customFormat="1" ht="20.100000000000001" customHeight="1" x14ac:dyDescent="0.25">
      <c r="A431" s="206">
        <f t="shared" ref="A431:A446" si="40">A430+1</f>
        <v>386</v>
      </c>
      <c r="B431" s="266" t="s">
        <v>639</v>
      </c>
      <c r="C431" s="207" t="s">
        <v>967</v>
      </c>
      <c r="D431" s="219" t="s">
        <v>977</v>
      </c>
      <c r="E431" s="291">
        <v>355</v>
      </c>
      <c r="F431" s="264" t="s">
        <v>189</v>
      </c>
      <c r="G431" s="265">
        <v>1</v>
      </c>
      <c r="H431" s="294">
        <v>520</v>
      </c>
      <c r="I431" s="341">
        <f t="shared" si="39"/>
        <v>520</v>
      </c>
      <c r="J431" s="362"/>
      <c r="L431" s="180"/>
      <c r="M431" s="180"/>
    </row>
    <row r="432" spans="1:13" s="181" customFormat="1" ht="20.100000000000001" customHeight="1" x14ac:dyDescent="0.25">
      <c r="A432" s="206">
        <f t="shared" si="40"/>
        <v>387</v>
      </c>
      <c r="B432" s="266" t="s">
        <v>640</v>
      </c>
      <c r="C432" s="207" t="s">
        <v>968</v>
      </c>
      <c r="D432" s="219" t="s">
        <v>874</v>
      </c>
      <c r="E432" s="291">
        <v>356</v>
      </c>
      <c r="F432" s="264" t="s">
        <v>465</v>
      </c>
      <c r="G432" s="265">
        <v>300</v>
      </c>
      <c r="H432" s="294">
        <v>9.2100000000000009</v>
      </c>
      <c r="I432" s="341">
        <f t="shared" si="39"/>
        <v>2763.0000000000005</v>
      </c>
      <c r="J432" s="362"/>
      <c r="L432" s="180"/>
      <c r="M432" s="180"/>
    </row>
    <row r="433" spans="1:13" s="181" customFormat="1" ht="20.100000000000001" customHeight="1" x14ac:dyDescent="0.25">
      <c r="A433" s="206">
        <f t="shared" si="40"/>
        <v>388</v>
      </c>
      <c r="B433" s="266" t="s">
        <v>641</v>
      </c>
      <c r="C433" s="207" t="s">
        <v>969</v>
      </c>
      <c r="D433" s="219" t="s">
        <v>977</v>
      </c>
      <c r="E433" s="291">
        <v>357</v>
      </c>
      <c r="F433" s="264" t="s">
        <v>189</v>
      </c>
      <c r="G433" s="265">
        <v>1</v>
      </c>
      <c r="H433" s="294">
        <v>300</v>
      </c>
      <c r="I433" s="341">
        <f t="shared" si="39"/>
        <v>300</v>
      </c>
      <c r="J433" s="362"/>
      <c r="L433" s="180"/>
      <c r="M433" s="180"/>
    </row>
    <row r="434" spans="1:13" s="181" customFormat="1" ht="20.100000000000001" customHeight="1" x14ac:dyDescent="0.25">
      <c r="A434" s="206">
        <f t="shared" si="40"/>
        <v>389</v>
      </c>
      <c r="B434" s="266" t="s">
        <v>642</v>
      </c>
      <c r="C434" s="207" t="s">
        <v>970</v>
      </c>
      <c r="D434" s="219" t="s">
        <v>876</v>
      </c>
      <c r="E434" s="291">
        <v>358</v>
      </c>
      <c r="F434" s="264" t="s">
        <v>189</v>
      </c>
      <c r="G434" s="265">
        <v>10</v>
      </c>
      <c r="H434" s="294">
        <v>26.02</v>
      </c>
      <c r="I434" s="341">
        <f t="shared" si="39"/>
        <v>260.2</v>
      </c>
      <c r="J434" s="362"/>
      <c r="L434" s="180"/>
      <c r="M434" s="180"/>
    </row>
    <row r="435" spans="1:13" s="181" customFormat="1" ht="20.100000000000001" customHeight="1" x14ac:dyDescent="0.25">
      <c r="A435" s="206">
        <f t="shared" si="40"/>
        <v>390</v>
      </c>
      <c r="B435" s="266" t="s">
        <v>643</v>
      </c>
      <c r="C435" s="207" t="s">
        <v>971</v>
      </c>
      <c r="D435" s="219" t="s">
        <v>977</v>
      </c>
      <c r="E435" s="291">
        <v>359</v>
      </c>
      <c r="F435" s="264" t="s">
        <v>189</v>
      </c>
      <c r="G435" s="265">
        <v>1</v>
      </c>
      <c r="H435" s="294">
        <v>7500</v>
      </c>
      <c r="I435" s="341">
        <f t="shared" si="39"/>
        <v>7500</v>
      </c>
      <c r="J435" s="362"/>
      <c r="L435" s="180"/>
      <c r="M435" s="180"/>
    </row>
    <row r="436" spans="1:13" s="181" customFormat="1" ht="20.100000000000001" customHeight="1" x14ac:dyDescent="0.25">
      <c r="A436" s="206">
        <f t="shared" si="40"/>
        <v>391</v>
      </c>
      <c r="B436" s="266" t="s">
        <v>644</v>
      </c>
      <c r="C436" s="207" t="s">
        <v>972</v>
      </c>
      <c r="D436" s="219" t="s">
        <v>977</v>
      </c>
      <c r="E436" s="291">
        <v>360</v>
      </c>
      <c r="F436" s="264" t="s">
        <v>189</v>
      </c>
      <c r="G436" s="265">
        <v>1</v>
      </c>
      <c r="H436" s="294">
        <v>4400</v>
      </c>
      <c r="I436" s="341">
        <f t="shared" si="39"/>
        <v>4400</v>
      </c>
      <c r="J436" s="362"/>
      <c r="L436" s="180"/>
      <c r="M436" s="180"/>
    </row>
    <row r="437" spans="1:13" s="181" customFormat="1" ht="20.100000000000001" customHeight="1" x14ac:dyDescent="0.25">
      <c r="A437" s="206">
        <f t="shared" si="40"/>
        <v>392</v>
      </c>
      <c r="B437" s="266" t="s">
        <v>645</v>
      </c>
      <c r="C437" s="207" t="s">
        <v>973</v>
      </c>
      <c r="D437" s="219" t="s">
        <v>977</v>
      </c>
      <c r="E437" s="291">
        <v>361</v>
      </c>
      <c r="F437" s="264" t="s">
        <v>189</v>
      </c>
      <c r="G437" s="265">
        <v>24</v>
      </c>
      <c r="H437" s="294">
        <v>200</v>
      </c>
      <c r="I437" s="341">
        <f t="shared" si="39"/>
        <v>4800</v>
      </c>
      <c r="J437" s="362"/>
      <c r="L437" s="180"/>
      <c r="M437" s="180"/>
    </row>
    <row r="438" spans="1:13" s="181" customFormat="1" ht="31.5" customHeight="1" x14ac:dyDescent="0.25">
      <c r="A438" s="206">
        <f t="shared" si="40"/>
        <v>393</v>
      </c>
      <c r="B438" s="266" t="s">
        <v>646</v>
      </c>
      <c r="C438" s="207" t="s">
        <v>974</v>
      </c>
      <c r="D438" s="219" t="s">
        <v>977</v>
      </c>
      <c r="E438" s="291">
        <v>362</v>
      </c>
      <c r="F438" s="264" t="s">
        <v>189</v>
      </c>
      <c r="G438" s="265">
        <v>10</v>
      </c>
      <c r="H438" s="294">
        <v>350</v>
      </c>
      <c r="I438" s="341">
        <f t="shared" si="39"/>
        <v>3500</v>
      </c>
      <c r="J438" s="362"/>
      <c r="L438" s="180"/>
      <c r="M438" s="180"/>
    </row>
    <row r="439" spans="1:13" s="181" customFormat="1" ht="26.25" customHeight="1" x14ac:dyDescent="0.25">
      <c r="A439" s="206">
        <f t="shared" si="40"/>
        <v>394</v>
      </c>
      <c r="B439" s="266" t="s">
        <v>1222</v>
      </c>
      <c r="C439" s="207" t="s">
        <v>975</v>
      </c>
      <c r="D439" s="219" t="s">
        <v>977</v>
      </c>
      <c r="E439" s="291">
        <v>363</v>
      </c>
      <c r="F439" s="264" t="s">
        <v>465</v>
      </c>
      <c r="G439" s="265">
        <v>1200</v>
      </c>
      <c r="H439" s="335">
        <v>6.33</v>
      </c>
      <c r="I439" s="341">
        <f t="shared" si="39"/>
        <v>7596</v>
      </c>
      <c r="J439" s="362"/>
      <c r="L439" s="180"/>
      <c r="M439" s="180"/>
    </row>
    <row r="440" spans="1:13" s="181" customFormat="1" ht="31.5" customHeight="1" x14ac:dyDescent="0.25">
      <c r="A440" s="206">
        <f t="shared" si="40"/>
        <v>395</v>
      </c>
      <c r="B440" s="266" t="s">
        <v>647</v>
      </c>
      <c r="C440" s="207"/>
      <c r="D440" s="414" t="s">
        <v>875</v>
      </c>
      <c r="E440" s="291">
        <v>364</v>
      </c>
      <c r="F440" s="264" t="s">
        <v>189</v>
      </c>
      <c r="G440" s="265">
        <v>1</v>
      </c>
      <c r="H440" s="335">
        <v>450</v>
      </c>
      <c r="I440" s="341">
        <f t="shared" si="39"/>
        <v>450</v>
      </c>
      <c r="J440" s="362"/>
      <c r="L440" s="180"/>
      <c r="M440" s="180"/>
    </row>
    <row r="441" spans="1:13" s="181" customFormat="1" ht="26.25" customHeight="1" x14ac:dyDescent="0.25">
      <c r="A441" s="206">
        <f t="shared" si="40"/>
        <v>396</v>
      </c>
      <c r="B441" s="266" t="s">
        <v>648</v>
      </c>
      <c r="C441" s="207"/>
      <c r="D441" s="414" t="s">
        <v>875</v>
      </c>
      <c r="E441" s="291">
        <v>365</v>
      </c>
      <c r="F441" s="264" t="s">
        <v>189</v>
      </c>
      <c r="G441" s="265">
        <v>1</v>
      </c>
      <c r="H441" s="335">
        <v>300</v>
      </c>
      <c r="I441" s="341">
        <f t="shared" si="39"/>
        <v>300</v>
      </c>
      <c r="J441" s="362"/>
      <c r="L441" s="180"/>
      <c r="M441" s="180"/>
    </row>
    <row r="442" spans="1:13" s="181" customFormat="1" ht="35.1" customHeight="1" x14ac:dyDescent="0.25">
      <c r="A442" s="206">
        <f t="shared" si="40"/>
        <v>397</v>
      </c>
      <c r="B442" s="266" t="s">
        <v>649</v>
      </c>
      <c r="C442" s="207" t="s">
        <v>976</v>
      </c>
      <c r="D442" s="301" t="s">
        <v>977</v>
      </c>
      <c r="E442" s="291">
        <v>366</v>
      </c>
      <c r="F442" s="264" t="s">
        <v>189</v>
      </c>
      <c r="G442" s="265">
        <v>1</v>
      </c>
      <c r="H442" s="335">
        <v>5000</v>
      </c>
      <c r="I442" s="341">
        <f t="shared" si="39"/>
        <v>5000</v>
      </c>
      <c r="J442" s="362"/>
      <c r="L442" s="180"/>
      <c r="M442" s="180"/>
    </row>
    <row r="443" spans="1:13" s="181" customFormat="1" ht="35.1" customHeight="1" x14ac:dyDescent="0.25">
      <c r="A443" s="206">
        <f t="shared" si="40"/>
        <v>398</v>
      </c>
      <c r="B443" s="266" t="s">
        <v>650</v>
      </c>
      <c r="C443" s="207"/>
      <c r="D443" s="414" t="s">
        <v>977</v>
      </c>
      <c r="E443" s="291">
        <v>367</v>
      </c>
      <c r="F443" s="264" t="s">
        <v>189</v>
      </c>
      <c r="G443" s="265">
        <v>3</v>
      </c>
      <c r="H443" s="335">
        <v>2500</v>
      </c>
      <c r="I443" s="341">
        <f t="shared" si="39"/>
        <v>7500</v>
      </c>
      <c r="J443" s="362"/>
      <c r="L443" s="180"/>
      <c r="M443" s="180"/>
    </row>
    <row r="444" spans="1:13" s="181" customFormat="1" ht="35.1" customHeight="1" x14ac:dyDescent="0.25">
      <c r="A444" s="206">
        <f t="shared" si="40"/>
        <v>399</v>
      </c>
      <c r="B444" s="266" t="s">
        <v>651</v>
      </c>
      <c r="C444" s="207"/>
      <c r="D444" s="414" t="s">
        <v>977</v>
      </c>
      <c r="E444" s="291">
        <v>368</v>
      </c>
      <c r="F444" s="264" t="s">
        <v>189</v>
      </c>
      <c r="G444" s="265">
        <v>2</v>
      </c>
      <c r="H444" s="294">
        <v>1700</v>
      </c>
      <c r="I444" s="341">
        <f t="shared" si="39"/>
        <v>3400</v>
      </c>
      <c r="J444" s="362"/>
      <c r="L444" s="180"/>
      <c r="M444" s="180"/>
    </row>
    <row r="445" spans="1:13" s="181" customFormat="1" ht="21" customHeight="1" x14ac:dyDescent="0.25">
      <c r="A445" s="206">
        <f t="shared" si="40"/>
        <v>400</v>
      </c>
      <c r="B445" s="266" t="s">
        <v>652</v>
      </c>
      <c r="C445" s="207"/>
      <c r="D445" s="414" t="s">
        <v>977</v>
      </c>
      <c r="E445" s="291">
        <v>369</v>
      </c>
      <c r="F445" s="264" t="s">
        <v>189</v>
      </c>
      <c r="G445" s="265">
        <v>1</v>
      </c>
      <c r="H445" s="294">
        <v>7500</v>
      </c>
      <c r="I445" s="341">
        <f t="shared" si="39"/>
        <v>7500</v>
      </c>
      <c r="J445" s="362"/>
      <c r="L445" s="180"/>
      <c r="M445" s="180"/>
    </row>
    <row r="446" spans="1:13" s="181" customFormat="1" ht="21" customHeight="1" thickBot="1" x14ac:dyDescent="0.3">
      <c r="A446" s="206">
        <f t="shared" si="40"/>
        <v>401</v>
      </c>
      <c r="B446" s="268" t="s">
        <v>653</v>
      </c>
      <c r="C446" s="207"/>
      <c r="D446" s="414" t="s">
        <v>977</v>
      </c>
      <c r="E446" s="291">
        <v>370</v>
      </c>
      <c r="F446" s="201" t="s">
        <v>189</v>
      </c>
      <c r="G446" s="269">
        <v>1</v>
      </c>
      <c r="H446" s="294">
        <v>6000</v>
      </c>
      <c r="I446" s="342">
        <f t="shared" si="39"/>
        <v>6000</v>
      </c>
      <c r="J446" s="363"/>
      <c r="L446" s="180"/>
      <c r="M446" s="180"/>
    </row>
    <row r="447" spans="1:13" s="181" customFormat="1" ht="24.9" customHeight="1" thickBot="1" x14ac:dyDescent="0.3">
      <c r="A447" s="475"/>
      <c r="B447" s="173"/>
      <c r="C447" s="525" t="s">
        <v>1244</v>
      </c>
      <c r="D447" s="523"/>
      <c r="E447" s="523"/>
      <c r="F447" s="523"/>
      <c r="G447" s="523"/>
      <c r="H447" s="524"/>
      <c r="I447" s="346">
        <f>SUM(I429:I446)</f>
        <v>63239.199999999997</v>
      </c>
      <c r="J447" s="476">
        <f>I447</f>
        <v>63239.199999999997</v>
      </c>
      <c r="L447" s="180"/>
      <c r="M447" s="180"/>
    </row>
    <row r="448" spans="1:13" s="181" customFormat="1" ht="20.100000000000001" customHeight="1" x14ac:dyDescent="0.25">
      <c r="A448" s="185"/>
      <c r="B448" s="175" t="s">
        <v>1263</v>
      </c>
      <c r="C448" s="273"/>
      <c r="D448" s="178"/>
      <c r="E448" s="279"/>
      <c r="F448" s="178"/>
      <c r="G448" s="108"/>
      <c r="H448" s="108"/>
      <c r="I448" s="347"/>
      <c r="J448" s="361"/>
      <c r="L448" s="180"/>
      <c r="M448" s="180"/>
    </row>
    <row r="449" spans="1:13" s="181" customFormat="1" ht="20.100000000000001" customHeight="1" x14ac:dyDescent="0.25">
      <c r="A449" s="206">
        <f>A446+1</f>
        <v>402</v>
      </c>
      <c r="B449" s="270" t="s">
        <v>654</v>
      </c>
      <c r="C449" s="207" t="s">
        <v>983</v>
      </c>
      <c r="D449" s="219" t="s">
        <v>988</v>
      </c>
      <c r="E449" s="291">
        <v>371</v>
      </c>
      <c r="F449" s="264" t="s">
        <v>189</v>
      </c>
      <c r="G449" s="327">
        <v>1</v>
      </c>
      <c r="H449" s="294">
        <v>2600</v>
      </c>
      <c r="I449" s="341">
        <f>G449*H449</f>
        <v>2600</v>
      </c>
      <c r="J449" s="362"/>
      <c r="L449" s="180"/>
      <c r="M449" s="180"/>
    </row>
    <row r="450" spans="1:13" s="181" customFormat="1" ht="20.100000000000001" customHeight="1" x14ac:dyDescent="0.25">
      <c r="A450" s="206">
        <f>A449+1</f>
        <v>403</v>
      </c>
      <c r="B450" s="270" t="s">
        <v>978</v>
      </c>
      <c r="C450" s="207" t="s">
        <v>1198</v>
      </c>
      <c r="D450" s="219" t="s">
        <v>988</v>
      </c>
      <c r="E450" s="291">
        <v>372</v>
      </c>
      <c r="F450" s="264" t="s">
        <v>189</v>
      </c>
      <c r="G450" s="327">
        <v>5</v>
      </c>
      <c r="H450" s="294">
        <v>179</v>
      </c>
      <c r="I450" s="341">
        <f t="shared" ref="I450:I460" si="41">G450*H450</f>
        <v>895</v>
      </c>
      <c r="J450" s="362"/>
      <c r="L450" s="180"/>
      <c r="M450" s="180"/>
    </row>
    <row r="451" spans="1:13" s="181" customFormat="1" ht="20.100000000000001" customHeight="1" x14ac:dyDescent="0.25">
      <c r="A451" s="206">
        <f t="shared" ref="A451:A460" si="42">A450+1</f>
        <v>404</v>
      </c>
      <c r="B451" s="270" t="s">
        <v>979</v>
      </c>
      <c r="C451" s="207" t="s">
        <v>1199</v>
      </c>
      <c r="D451" s="219" t="s">
        <v>988</v>
      </c>
      <c r="E451" s="291">
        <v>373</v>
      </c>
      <c r="F451" s="264" t="s">
        <v>189</v>
      </c>
      <c r="G451" s="327">
        <v>15</v>
      </c>
      <c r="H451" s="294">
        <v>179</v>
      </c>
      <c r="I451" s="341">
        <f t="shared" si="41"/>
        <v>2685</v>
      </c>
      <c r="J451" s="362"/>
      <c r="L451" s="180"/>
      <c r="M451" s="180"/>
    </row>
    <row r="452" spans="1:13" s="181" customFormat="1" ht="20.100000000000001" customHeight="1" x14ac:dyDescent="0.25">
      <c r="A452" s="206">
        <f t="shared" si="42"/>
        <v>405</v>
      </c>
      <c r="B452" s="270" t="s">
        <v>655</v>
      </c>
      <c r="C452" s="207" t="s">
        <v>1200</v>
      </c>
      <c r="D452" s="219" t="s">
        <v>988</v>
      </c>
      <c r="E452" s="291">
        <v>374</v>
      </c>
      <c r="F452" s="264" t="s">
        <v>189</v>
      </c>
      <c r="G452" s="327">
        <v>39</v>
      </c>
      <c r="H452" s="294">
        <v>97.2</v>
      </c>
      <c r="I452" s="341">
        <f t="shared" si="41"/>
        <v>3790.8</v>
      </c>
      <c r="J452" s="362"/>
      <c r="L452" s="180"/>
      <c r="M452" s="180"/>
    </row>
    <row r="453" spans="1:13" s="181" customFormat="1" ht="20.100000000000001" customHeight="1" x14ac:dyDescent="0.25">
      <c r="A453" s="206">
        <f t="shared" si="42"/>
        <v>406</v>
      </c>
      <c r="B453" s="263" t="s">
        <v>656</v>
      </c>
      <c r="C453" s="207" t="s">
        <v>1201</v>
      </c>
      <c r="D453" s="219" t="s">
        <v>988</v>
      </c>
      <c r="E453" s="291">
        <v>375</v>
      </c>
      <c r="F453" s="264" t="s">
        <v>189</v>
      </c>
      <c r="G453" s="327">
        <v>2</v>
      </c>
      <c r="H453" s="294">
        <v>199.85</v>
      </c>
      <c r="I453" s="341">
        <f t="shared" si="41"/>
        <v>399.7</v>
      </c>
      <c r="J453" s="362"/>
      <c r="L453" s="180"/>
      <c r="M453" s="180"/>
    </row>
    <row r="454" spans="1:13" s="181" customFormat="1" ht="20.100000000000001" customHeight="1" x14ac:dyDescent="0.25">
      <c r="A454" s="206">
        <f t="shared" si="42"/>
        <v>407</v>
      </c>
      <c r="B454" s="270" t="s">
        <v>980</v>
      </c>
      <c r="C454" s="207" t="s">
        <v>1201</v>
      </c>
      <c r="D454" s="219" t="s">
        <v>988</v>
      </c>
      <c r="E454" s="291">
        <v>376</v>
      </c>
      <c r="F454" s="264" t="s">
        <v>189</v>
      </c>
      <c r="G454" s="327">
        <v>3</v>
      </c>
      <c r="H454" s="294">
        <v>150.35</v>
      </c>
      <c r="I454" s="341">
        <f t="shared" si="41"/>
        <v>451.04999999999995</v>
      </c>
      <c r="J454" s="362"/>
      <c r="L454" s="180"/>
      <c r="M454" s="180"/>
    </row>
    <row r="455" spans="1:13" s="181" customFormat="1" ht="20.100000000000001" customHeight="1" x14ac:dyDescent="0.25">
      <c r="A455" s="206">
        <f t="shared" si="42"/>
        <v>408</v>
      </c>
      <c r="B455" s="270" t="s">
        <v>981</v>
      </c>
      <c r="C455" s="207" t="s">
        <v>984</v>
      </c>
      <c r="D455" s="219" t="s">
        <v>989</v>
      </c>
      <c r="E455" s="291">
        <v>377</v>
      </c>
      <c r="F455" s="264" t="s">
        <v>189</v>
      </c>
      <c r="G455" s="327">
        <v>225</v>
      </c>
      <c r="H455" s="294">
        <v>9.33</v>
      </c>
      <c r="I455" s="341">
        <f t="shared" si="41"/>
        <v>2099.25</v>
      </c>
      <c r="J455" s="362"/>
      <c r="L455" s="180"/>
      <c r="M455" s="180"/>
    </row>
    <row r="456" spans="1:13" s="181" customFormat="1" ht="20.100000000000001" customHeight="1" x14ac:dyDescent="0.25">
      <c r="A456" s="206">
        <f t="shared" si="42"/>
        <v>409</v>
      </c>
      <c r="B456" s="379" t="s">
        <v>662</v>
      </c>
      <c r="C456" s="207" t="s">
        <v>985</v>
      </c>
      <c r="D456" s="219" t="s">
        <v>989</v>
      </c>
      <c r="E456" s="291">
        <v>285</v>
      </c>
      <c r="F456" s="264" t="s">
        <v>189</v>
      </c>
      <c r="G456" s="328">
        <v>20</v>
      </c>
      <c r="H456" s="335">
        <v>5.16</v>
      </c>
      <c r="I456" s="341">
        <f t="shared" si="41"/>
        <v>103.2</v>
      </c>
      <c r="J456" s="362"/>
      <c r="L456" s="180"/>
      <c r="M456" s="180"/>
    </row>
    <row r="457" spans="1:13" s="181" customFormat="1" ht="20.100000000000001" customHeight="1" x14ac:dyDescent="0.25">
      <c r="A457" s="206">
        <f t="shared" si="42"/>
        <v>410</v>
      </c>
      <c r="B457" s="379" t="s">
        <v>657</v>
      </c>
      <c r="C457" s="207" t="s">
        <v>986</v>
      </c>
      <c r="D457" s="219" t="s">
        <v>988</v>
      </c>
      <c r="E457" s="291">
        <v>378</v>
      </c>
      <c r="F457" s="264" t="s">
        <v>465</v>
      </c>
      <c r="G457" s="327">
        <v>13</v>
      </c>
      <c r="H457" s="294">
        <v>1160</v>
      </c>
      <c r="I457" s="341">
        <f t="shared" si="41"/>
        <v>15080</v>
      </c>
      <c r="J457" s="362"/>
      <c r="L457" s="180"/>
      <c r="M457" s="180"/>
    </row>
    <row r="458" spans="1:13" s="181" customFormat="1" ht="20.100000000000001" customHeight="1" x14ac:dyDescent="0.25">
      <c r="A458" s="206">
        <f t="shared" si="42"/>
        <v>411</v>
      </c>
      <c r="B458" s="379" t="s">
        <v>982</v>
      </c>
      <c r="C458" s="207" t="s">
        <v>987</v>
      </c>
      <c r="D458" s="219" t="s">
        <v>988</v>
      </c>
      <c r="E458" s="291">
        <v>379</v>
      </c>
      <c r="F458" s="264" t="s">
        <v>465</v>
      </c>
      <c r="G458" s="328">
        <v>1</v>
      </c>
      <c r="H458" s="335">
        <v>1500</v>
      </c>
      <c r="I458" s="341">
        <f t="shared" si="41"/>
        <v>1500</v>
      </c>
      <c r="J458" s="362"/>
      <c r="L458" s="180"/>
      <c r="M458" s="180"/>
    </row>
    <row r="459" spans="1:13" s="181" customFormat="1" ht="20.100000000000001" customHeight="1" x14ac:dyDescent="0.25">
      <c r="A459" s="206">
        <f t="shared" si="42"/>
        <v>412</v>
      </c>
      <c r="B459" s="272" t="s">
        <v>1226</v>
      </c>
      <c r="C459" s="291"/>
      <c r="D459" s="264" t="s">
        <v>988</v>
      </c>
      <c r="E459" s="291">
        <v>380</v>
      </c>
      <c r="F459" s="264" t="s">
        <v>189</v>
      </c>
      <c r="G459" s="418">
        <v>1</v>
      </c>
      <c r="H459" s="331">
        <v>600</v>
      </c>
      <c r="I459" s="341">
        <f t="shared" si="41"/>
        <v>600</v>
      </c>
      <c r="J459" s="362"/>
    </row>
    <row r="460" spans="1:13" s="181" customFormat="1" ht="20.100000000000001" customHeight="1" thickBot="1" x14ac:dyDescent="0.3">
      <c r="A460" s="206">
        <f t="shared" si="42"/>
        <v>413</v>
      </c>
      <c r="B460" s="379" t="s">
        <v>1266</v>
      </c>
      <c r="C460" s="207" t="s">
        <v>983</v>
      </c>
      <c r="D460" s="219" t="s">
        <v>988</v>
      </c>
      <c r="E460" s="291">
        <v>381</v>
      </c>
      <c r="F460" s="264" t="s">
        <v>189</v>
      </c>
      <c r="G460" s="328">
        <v>1</v>
      </c>
      <c r="H460" s="335">
        <v>600</v>
      </c>
      <c r="I460" s="341">
        <f t="shared" si="41"/>
        <v>600</v>
      </c>
      <c r="J460" s="362"/>
      <c r="L460" s="180"/>
      <c r="M460" s="180"/>
    </row>
    <row r="461" spans="1:13" s="181" customFormat="1" ht="24.9" customHeight="1" thickBot="1" x14ac:dyDescent="0.3">
      <c r="A461" s="184"/>
      <c r="B461" s="173"/>
      <c r="C461" s="525" t="s">
        <v>1245</v>
      </c>
      <c r="D461" s="523"/>
      <c r="E461" s="523"/>
      <c r="F461" s="523"/>
      <c r="G461" s="523"/>
      <c r="H461" s="524"/>
      <c r="I461" s="346">
        <f>SUM(I449:I460)</f>
        <v>30804</v>
      </c>
      <c r="J461" s="357">
        <f>I461</f>
        <v>30804</v>
      </c>
      <c r="L461" s="180"/>
      <c r="M461" s="180"/>
    </row>
    <row r="462" spans="1:13" s="181" customFormat="1" ht="20.100000000000001" customHeight="1" x14ac:dyDescent="0.25">
      <c r="A462" s="185"/>
      <c r="B462" s="175" t="s">
        <v>1264</v>
      </c>
      <c r="C462" s="273"/>
      <c r="D462" s="178"/>
      <c r="E462" s="279"/>
      <c r="F462" s="178"/>
      <c r="G462" s="108"/>
      <c r="H462" s="108"/>
      <c r="I462" s="347"/>
      <c r="J462" s="361"/>
      <c r="L462" s="180"/>
      <c r="M462" s="180"/>
    </row>
    <row r="463" spans="1:13" s="181" customFormat="1" ht="20.100000000000001" customHeight="1" thickBot="1" x14ac:dyDescent="0.3">
      <c r="A463" s="206">
        <f>A460+1</f>
        <v>414</v>
      </c>
      <c r="B463" s="266" t="s">
        <v>658</v>
      </c>
      <c r="C463" s="274"/>
      <c r="D463" s="264" t="s">
        <v>1202</v>
      </c>
      <c r="E463" s="291">
        <v>382</v>
      </c>
      <c r="F463" s="264" t="s">
        <v>189</v>
      </c>
      <c r="G463" s="265">
        <v>1</v>
      </c>
      <c r="H463" s="412">
        <v>22000</v>
      </c>
      <c r="I463" s="341">
        <f t="shared" ref="I463" si="43">G463*H463</f>
        <v>22000</v>
      </c>
      <c r="J463" s="362"/>
      <c r="L463" s="180"/>
      <c r="M463" s="180"/>
    </row>
    <row r="464" spans="1:13" s="181" customFormat="1" ht="24.9" customHeight="1" thickBot="1" x14ac:dyDescent="0.3">
      <c r="A464" s="184"/>
      <c r="B464" s="387"/>
      <c r="C464" s="516" t="s">
        <v>1246</v>
      </c>
      <c r="D464" s="517"/>
      <c r="E464" s="517"/>
      <c r="F464" s="517"/>
      <c r="G464" s="517"/>
      <c r="H464" s="518"/>
      <c r="I464" s="346">
        <f>SUM(I463:I463)</f>
        <v>22000</v>
      </c>
      <c r="J464" s="357">
        <f>I464</f>
        <v>22000</v>
      </c>
      <c r="L464" s="180">
        <f>624</f>
        <v>624</v>
      </c>
      <c r="M464" s="180"/>
    </row>
    <row r="465" spans="1:13" s="181" customFormat="1" ht="20.100000000000001" customHeight="1" x14ac:dyDescent="0.25">
      <c r="A465" s="206"/>
      <c r="B465" s="262" t="s">
        <v>1265</v>
      </c>
      <c r="C465" s="309"/>
      <c r="D465" s="201"/>
      <c r="E465" s="291"/>
      <c r="F465" s="264"/>
      <c r="G465" s="265"/>
      <c r="H465" s="265"/>
      <c r="I465" s="348"/>
      <c r="J465" s="361"/>
      <c r="L465" s="180"/>
      <c r="M465" s="180"/>
    </row>
    <row r="466" spans="1:13" s="181" customFormat="1" ht="20.100000000000001" customHeight="1" x14ac:dyDescent="0.25">
      <c r="A466" s="206">
        <f>A463+1</f>
        <v>415</v>
      </c>
      <c r="B466" s="266" t="s">
        <v>1203</v>
      </c>
      <c r="C466" s="417" t="s">
        <v>1209</v>
      </c>
      <c r="D466" s="264" t="s">
        <v>1210</v>
      </c>
      <c r="E466" s="291">
        <v>383</v>
      </c>
      <c r="F466" s="264" t="s">
        <v>189</v>
      </c>
      <c r="G466" s="265">
        <v>1</v>
      </c>
      <c r="H466" s="330">
        <v>700</v>
      </c>
      <c r="I466" s="341">
        <f t="shared" ref="I466:I477" si="44">G466*H466</f>
        <v>700</v>
      </c>
      <c r="J466" s="362"/>
      <c r="L466" s="180"/>
      <c r="M466" s="180"/>
    </row>
    <row r="467" spans="1:13" s="181" customFormat="1" ht="20.100000000000001" customHeight="1" x14ac:dyDescent="0.25">
      <c r="A467" s="206">
        <f>A466+1</f>
        <v>416</v>
      </c>
      <c r="B467" s="381" t="s">
        <v>1132</v>
      </c>
      <c r="C467" s="417" t="s">
        <v>1211</v>
      </c>
      <c r="E467" s="291">
        <v>384</v>
      </c>
      <c r="F467" s="264" t="s">
        <v>56</v>
      </c>
      <c r="G467" s="265">
        <v>210</v>
      </c>
      <c r="H467" s="330">
        <v>7.42</v>
      </c>
      <c r="I467" s="341">
        <f t="shared" si="44"/>
        <v>1558.2</v>
      </c>
      <c r="J467" s="362"/>
      <c r="L467" s="180"/>
      <c r="M467" s="180"/>
    </row>
    <row r="468" spans="1:13" s="181" customFormat="1" ht="20.100000000000001" customHeight="1" x14ac:dyDescent="0.25">
      <c r="A468" s="206">
        <f t="shared" ref="A468:A477" si="45">A467+1</f>
        <v>417</v>
      </c>
      <c r="B468" s="266" t="s">
        <v>1133</v>
      </c>
      <c r="C468" s="417" t="s">
        <v>1212</v>
      </c>
      <c r="D468" s="264"/>
      <c r="E468" s="291">
        <v>385</v>
      </c>
      <c r="F468" s="264" t="s">
        <v>189</v>
      </c>
      <c r="G468" s="265">
        <v>9</v>
      </c>
      <c r="H468" s="330">
        <v>22.2</v>
      </c>
      <c r="I468" s="341">
        <f t="shared" si="44"/>
        <v>199.79999999999998</v>
      </c>
      <c r="J468" s="362"/>
      <c r="L468" s="180"/>
      <c r="M468" s="180"/>
    </row>
    <row r="469" spans="1:13" s="181" customFormat="1" ht="20.100000000000001" customHeight="1" x14ac:dyDescent="0.25">
      <c r="A469" s="206">
        <f t="shared" si="45"/>
        <v>418</v>
      </c>
      <c r="B469" s="266" t="s">
        <v>1208</v>
      </c>
      <c r="C469" s="417" t="s">
        <v>1204</v>
      </c>
      <c r="D469" s="264"/>
      <c r="E469" s="291">
        <v>386</v>
      </c>
      <c r="F469" s="264" t="s">
        <v>189</v>
      </c>
      <c r="G469" s="265">
        <v>2</v>
      </c>
      <c r="H469" s="331">
        <v>290</v>
      </c>
      <c r="I469" s="341">
        <f t="shared" si="44"/>
        <v>580</v>
      </c>
      <c r="J469" s="362"/>
      <c r="L469" s="180"/>
      <c r="M469" s="180"/>
    </row>
    <row r="470" spans="1:13" s="181" customFormat="1" ht="20.100000000000001" customHeight="1" x14ac:dyDescent="0.25">
      <c r="A470" s="206">
        <f t="shared" si="45"/>
        <v>419</v>
      </c>
      <c r="B470" s="266" t="s">
        <v>659</v>
      </c>
      <c r="C470" s="417" t="s">
        <v>1205</v>
      </c>
      <c r="D470" s="264"/>
      <c r="E470" s="291">
        <v>387</v>
      </c>
      <c r="F470" s="264" t="s">
        <v>189</v>
      </c>
      <c r="G470" s="265">
        <v>33</v>
      </c>
      <c r="H470" s="331">
        <v>38.119999999999997</v>
      </c>
      <c r="I470" s="341">
        <f t="shared" si="44"/>
        <v>1257.9599999999998</v>
      </c>
      <c r="J470" s="362"/>
      <c r="L470" s="180"/>
      <c r="M470" s="180"/>
    </row>
    <row r="471" spans="1:13" s="181" customFormat="1" ht="20.100000000000001" customHeight="1" x14ac:dyDescent="0.25">
      <c r="A471" s="206">
        <f t="shared" si="45"/>
        <v>420</v>
      </c>
      <c r="B471" s="266" t="s">
        <v>660</v>
      </c>
      <c r="C471" s="417" t="s">
        <v>1213</v>
      </c>
      <c r="D471" s="264"/>
      <c r="E471" s="291">
        <v>388</v>
      </c>
      <c r="F471" s="264" t="s">
        <v>189</v>
      </c>
      <c r="G471" s="265">
        <v>18</v>
      </c>
      <c r="H471" s="331">
        <v>36.25</v>
      </c>
      <c r="I471" s="341">
        <f t="shared" si="44"/>
        <v>652.5</v>
      </c>
      <c r="J471" s="362"/>
      <c r="L471" s="180"/>
      <c r="M471" s="180"/>
    </row>
    <row r="472" spans="1:13" s="181" customFormat="1" ht="20.100000000000001" customHeight="1" x14ac:dyDescent="0.25">
      <c r="A472" s="206">
        <f t="shared" si="45"/>
        <v>421</v>
      </c>
      <c r="B472" s="266" t="s">
        <v>1134</v>
      </c>
      <c r="C472" s="417" t="s">
        <v>1214</v>
      </c>
      <c r="D472" s="264"/>
      <c r="E472" s="291">
        <v>389</v>
      </c>
      <c r="F472" s="264" t="s">
        <v>189</v>
      </c>
      <c r="G472" s="265">
        <v>1</v>
      </c>
      <c r="H472" s="331">
        <v>15.46</v>
      </c>
      <c r="I472" s="341">
        <f t="shared" si="44"/>
        <v>15.46</v>
      </c>
      <c r="J472" s="362"/>
      <c r="L472" s="180"/>
      <c r="M472" s="180"/>
    </row>
    <row r="473" spans="1:13" s="181" customFormat="1" ht="20.100000000000001" customHeight="1" x14ac:dyDescent="0.25">
      <c r="A473" s="206">
        <f t="shared" si="45"/>
        <v>422</v>
      </c>
      <c r="B473" s="266" t="s">
        <v>1215</v>
      </c>
      <c r="C473" s="417" t="s">
        <v>1216</v>
      </c>
      <c r="D473" s="264"/>
      <c r="E473" s="291">
        <v>390</v>
      </c>
      <c r="F473" s="264" t="s">
        <v>189</v>
      </c>
      <c r="G473" s="265">
        <v>1</v>
      </c>
      <c r="H473" s="331">
        <v>54.11</v>
      </c>
      <c r="I473" s="341">
        <f t="shared" si="44"/>
        <v>54.11</v>
      </c>
      <c r="J473" s="362"/>
      <c r="L473" s="180">
        <f>614/13</f>
        <v>47.230769230769234</v>
      </c>
      <c r="M473" s="180"/>
    </row>
    <row r="474" spans="1:13" s="181" customFormat="1" ht="25.5" customHeight="1" x14ac:dyDescent="0.25">
      <c r="A474" s="206">
        <f t="shared" si="45"/>
        <v>423</v>
      </c>
      <c r="B474" s="266" t="s">
        <v>661</v>
      </c>
      <c r="C474" s="417" t="s">
        <v>1218</v>
      </c>
      <c r="D474" s="264" t="s">
        <v>901</v>
      </c>
      <c r="E474" s="291">
        <v>391</v>
      </c>
      <c r="F474" s="264" t="s">
        <v>189</v>
      </c>
      <c r="G474" s="265">
        <v>13</v>
      </c>
      <c r="H474" s="331">
        <v>47.24</v>
      </c>
      <c r="I474" s="341">
        <f t="shared" si="44"/>
        <v>614.12</v>
      </c>
      <c r="J474" s="362"/>
      <c r="L474" s="180"/>
      <c r="M474" s="180"/>
    </row>
    <row r="475" spans="1:13" s="181" customFormat="1" ht="26.25" customHeight="1" x14ac:dyDescent="0.25">
      <c r="A475" s="206">
        <f t="shared" si="45"/>
        <v>424</v>
      </c>
      <c r="B475" s="266" t="s">
        <v>1207</v>
      </c>
      <c r="C475" s="417" t="s">
        <v>1217</v>
      </c>
      <c r="D475" s="264" t="s">
        <v>901</v>
      </c>
      <c r="E475" s="291">
        <v>392</v>
      </c>
      <c r="F475" s="264" t="s">
        <v>189</v>
      </c>
      <c r="G475" s="265">
        <v>1</v>
      </c>
      <c r="H475" s="331">
        <v>67.63</v>
      </c>
      <c r="I475" s="341">
        <f t="shared" si="44"/>
        <v>67.63</v>
      </c>
      <c r="J475" s="362"/>
      <c r="L475" s="180"/>
      <c r="M475" s="180"/>
    </row>
    <row r="476" spans="1:13" s="181" customFormat="1" ht="22.5" customHeight="1" x14ac:dyDescent="0.25">
      <c r="A476" s="206">
        <f t="shared" si="45"/>
        <v>425</v>
      </c>
      <c r="B476" s="266" t="s">
        <v>1135</v>
      </c>
      <c r="C476" s="417" t="s">
        <v>1220</v>
      </c>
      <c r="D476" s="264" t="s">
        <v>901</v>
      </c>
      <c r="E476" s="291">
        <v>393</v>
      </c>
      <c r="F476" s="264" t="s">
        <v>189</v>
      </c>
      <c r="G476" s="265">
        <v>1</v>
      </c>
      <c r="H476" s="331">
        <v>80.28</v>
      </c>
      <c r="I476" s="341">
        <f t="shared" si="44"/>
        <v>80.28</v>
      </c>
      <c r="J476" s="362"/>
      <c r="L476" s="180"/>
      <c r="M476" s="180"/>
    </row>
    <row r="477" spans="1:13" s="181" customFormat="1" ht="28.5" customHeight="1" thickBot="1" x14ac:dyDescent="0.3">
      <c r="A477" s="206">
        <f t="shared" si="45"/>
        <v>426</v>
      </c>
      <c r="B477" s="268" t="s">
        <v>1136</v>
      </c>
      <c r="C477" s="417" t="s">
        <v>1221</v>
      </c>
      <c r="D477" s="416" t="s">
        <v>1219</v>
      </c>
      <c r="E477" s="291">
        <v>394</v>
      </c>
      <c r="F477" s="201" t="s">
        <v>189</v>
      </c>
      <c r="G477" s="269">
        <v>4</v>
      </c>
      <c r="H477" s="331">
        <v>50</v>
      </c>
      <c r="I477" s="415">
        <f t="shared" si="44"/>
        <v>200</v>
      </c>
      <c r="J477" s="363"/>
      <c r="L477" s="180"/>
      <c r="M477" s="180"/>
    </row>
    <row r="478" spans="1:13" s="181" customFormat="1" ht="24.9" customHeight="1" thickBot="1" x14ac:dyDescent="0.3">
      <c r="A478" s="187"/>
      <c r="B478" s="388"/>
      <c r="C478" s="519" t="s">
        <v>1247</v>
      </c>
      <c r="D478" s="517"/>
      <c r="E478" s="517"/>
      <c r="F478" s="517"/>
      <c r="G478" s="517"/>
      <c r="H478" s="518"/>
      <c r="I478" s="344">
        <f>SUM(I466:I477)</f>
        <v>5980.0599999999995</v>
      </c>
      <c r="J478" s="357">
        <f>I478</f>
        <v>5980.0599999999995</v>
      </c>
      <c r="L478" s="180"/>
      <c r="M478" s="180"/>
    </row>
    <row r="479" spans="1:13" s="4" customFormat="1" ht="36.9" customHeight="1" thickBot="1" x14ac:dyDescent="0.35">
      <c r="A479" s="164"/>
      <c r="B479" s="389"/>
      <c r="C479" s="302"/>
      <c r="D479" s="204"/>
      <c r="E479" s="323"/>
      <c r="F479" s="513" t="s">
        <v>1257</v>
      </c>
      <c r="G479" s="514"/>
      <c r="H479" s="514"/>
      <c r="I479" s="515"/>
      <c r="J479" s="467">
        <f>SUM(J148:J478)</f>
        <v>408288.0552</v>
      </c>
      <c r="L479"/>
      <c r="M479"/>
    </row>
    <row r="480" spans="1:13" ht="22.5" customHeight="1" x14ac:dyDescent="0.3">
      <c r="A480" s="286"/>
      <c r="B480" s="143"/>
      <c r="C480" s="541" t="s">
        <v>748</v>
      </c>
      <c r="D480" s="542"/>
      <c r="E480" s="542"/>
      <c r="F480" s="542"/>
      <c r="G480" s="542"/>
      <c r="H480" s="542"/>
      <c r="I480" s="543">
        <f>J479+J145</f>
        <v>1376642.8651999999</v>
      </c>
      <c r="J480" s="543"/>
      <c r="K480" s="128"/>
      <c r="L480" s="129">
        <f>I480-1376642.87</f>
        <v>-4.8000002279877663E-3</v>
      </c>
      <c r="M480">
        <f>L480/23</f>
        <v>-2.0869566208642462E-4</v>
      </c>
    </row>
    <row r="481" spans="1:12" ht="22.5" customHeight="1" x14ac:dyDescent="0.3">
      <c r="A481" s="286"/>
      <c r="B481" s="146"/>
      <c r="C481" s="544" t="s">
        <v>749</v>
      </c>
      <c r="D481" s="545"/>
      <c r="E481" s="545"/>
      <c r="F481" s="545"/>
      <c r="G481" s="545"/>
      <c r="H481" s="468">
        <v>0.18</v>
      </c>
      <c r="I481" s="546">
        <f>ROUNDUP(0.18*I480,2)</f>
        <v>247795.72</v>
      </c>
      <c r="J481" s="546"/>
      <c r="K481" s="128"/>
      <c r="L481" s="130"/>
    </row>
    <row r="482" spans="1:12" ht="22.5" customHeight="1" x14ac:dyDescent="0.3">
      <c r="A482" s="286"/>
      <c r="B482" s="146"/>
      <c r="C482" s="544" t="s">
        <v>750</v>
      </c>
      <c r="D482" s="545"/>
      <c r="E482" s="545"/>
      <c r="F482" s="545"/>
      <c r="G482" s="545"/>
      <c r="H482" s="545"/>
      <c r="I482" s="543">
        <f>I481+I480</f>
        <v>1624438.5851999999</v>
      </c>
      <c r="J482" s="543"/>
      <c r="K482" s="128"/>
      <c r="L482" s="130"/>
    </row>
    <row r="483" spans="1:12" ht="22.5" customHeight="1" x14ac:dyDescent="0.3">
      <c r="A483" s="286"/>
      <c r="B483" s="146"/>
      <c r="C483" s="544" t="s">
        <v>751</v>
      </c>
      <c r="D483" s="545"/>
      <c r="E483" s="545"/>
      <c r="F483" s="545"/>
      <c r="G483" s="545"/>
      <c r="H483" s="545"/>
      <c r="I483" s="546">
        <f>ROUND(0.15*I482,2)</f>
        <v>243665.79</v>
      </c>
      <c r="J483" s="546"/>
      <c r="K483" s="128"/>
      <c r="L483" s="130"/>
    </row>
    <row r="484" spans="1:12" ht="22.5" customHeight="1" x14ac:dyDescent="0.3">
      <c r="A484" s="286"/>
      <c r="B484" s="146"/>
      <c r="C484" s="544" t="s">
        <v>750</v>
      </c>
      <c r="D484" s="545"/>
      <c r="E484" s="545"/>
      <c r="F484" s="545"/>
      <c r="G484" s="545"/>
      <c r="H484" s="545"/>
      <c r="I484" s="547">
        <f>I482+I483</f>
        <v>1868104.3751999999</v>
      </c>
      <c r="J484" s="547"/>
      <c r="K484" s="465"/>
      <c r="L484" s="131"/>
    </row>
    <row r="485" spans="1:12" ht="22.5" customHeight="1" thickBot="1" x14ac:dyDescent="0.35">
      <c r="A485" s="286"/>
      <c r="B485" s="142" t="s">
        <v>752</v>
      </c>
      <c r="C485" s="542" t="s">
        <v>753</v>
      </c>
      <c r="D485" s="542"/>
      <c r="E485" s="542"/>
      <c r="F485" s="542"/>
      <c r="G485" s="542"/>
      <c r="H485" s="542"/>
      <c r="I485" s="546"/>
      <c r="J485" s="546"/>
      <c r="K485" s="466"/>
      <c r="L485" s="130"/>
    </row>
    <row r="486" spans="1:12" s="165" customFormat="1" ht="22.5" customHeight="1" thickTop="1" x14ac:dyDescent="0.25">
      <c r="A486" s="286"/>
      <c r="B486" s="548" t="s">
        <v>1137</v>
      </c>
      <c r="C486" s="542" t="s">
        <v>754</v>
      </c>
      <c r="D486" s="542"/>
      <c r="E486" s="542"/>
      <c r="F486" s="542"/>
      <c r="G486" s="542"/>
      <c r="H486" s="542"/>
      <c r="I486" s="543">
        <f>I484+J485</f>
        <v>1868104.3751999999</v>
      </c>
      <c r="J486" s="543"/>
      <c r="K486" s="144"/>
      <c r="L486" s="145"/>
    </row>
    <row r="487" spans="1:12" s="165" customFormat="1" ht="22.5" customHeight="1" thickBot="1" x14ac:dyDescent="0.3">
      <c r="A487" s="286"/>
      <c r="B487" s="549"/>
      <c r="C487" s="542" t="s">
        <v>755</v>
      </c>
      <c r="D487" s="542"/>
      <c r="E487" s="542"/>
      <c r="F487" s="542"/>
      <c r="G487" s="550"/>
      <c r="H487" s="468">
        <v>0.24</v>
      </c>
      <c r="I487" s="546">
        <f>ROUND(0.24*I486,2)</f>
        <v>448345.05</v>
      </c>
      <c r="J487" s="546"/>
      <c r="K487" s="153"/>
      <c r="L487" s="145"/>
    </row>
    <row r="488" spans="1:12" s="165" customFormat="1" ht="22.5" customHeight="1" thickTop="1" x14ac:dyDescent="0.25">
      <c r="A488" s="286"/>
      <c r="B488" s="166"/>
      <c r="C488" s="551" t="s">
        <v>756</v>
      </c>
      <c r="D488" s="551"/>
      <c r="E488" s="551"/>
      <c r="F488" s="551"/>
      <c r="G488" s="551"/>
      <c r="H488" s="551"/>
      <c r="I488" s="543">
        <f>I487+I486</f>
        <v>2316449.4251999999</v>
      </c>
      <c r="J488" s="543"/>
      <c r="K488" s="153"/>
      <c r="L488" s="145"/>
    </row>
    <row r="489" spans="1:12" s="165" customFormat="1" ht="22.5" customHeight="1" x14ac:dyDescent="0.2">
      <c r="A489" s="420"/>
      <c r="B489" s="166"/>
      <c r="C489" s="478"/>
      <c r="D489" s="478"/>
      <c r="E489" s="478"/>
      <c r="F489" s="478"/>
      <c r="G489" s="478"/>
      <c r="H489" s="478"/>
      <c r="I489" s="464"/>
      <c r="J489" s="464"/>
      <c r="K489" s="153"/>
      <c r="L489" s="145"/>
    </row>
    <row r="490" spans="1:12" s="165" customFormat="1" ht="41.25" customHeight="1" x14ac:dyDescent="0.2">
      <c r="A490" s="420"/>
      <c r="B490" s="166"/>
      <c r="C490" s="419"/>
      <c r="D490" s="419"/>
      <c r="E490" s="419"/>
      <c r="F490" s="419"/>
      <c r="G490" s="419"/>
      <c r="H490" s="419"/>
      <c r="I490" s="464"/>
      <c r="J490" s="464"/>
      <c r="K490" s="153"/>
      <c r="L490" s="145"/>
    </row>
    <row r="491" spans="1:12" ht="42.75" customHeight="1" x14ac:dyDescent="0.25">
      <c r="A491" s="127"/>
      <c r="B491" s="132"/>
      <c r="C491" s="319"/>
      <c r="D491" s="205"/>
      <c r="E491" s="319"/>
      <c r="F491" s="205"/>
      <c r="G491" s="248"/>
      <c r="H491" s="133"/>
      <c r="I491" s="134"/>
      <c r="J491" s="368"/>
      <c r="K491" s="128"/>
      <c r="L491" s="130"/>
    </row>
    <row r="492" spans="1:12" ht="24.75" customHeight="1" x14ac:dyDescent="0.25">
      <c r="A492" s="112"/>
      <c r="B492" s="435">
        <v>42592</v>
      </c>
      <c r="C492" s="552" t="s">
        <v>1036</v>
      </c>
      <c r="D492" s="553"/>
      <c r="E492" s="553"/>
      <c r="F492" s="436"/>
      <c r="G492" s="552" t="s">
        <v>1036</v>
      </c>
      <c r="H492" s="553"/>
      <c r="I492" s="553"/>
      <c r="J492" s="437"/>
      <c r="K492" s="112"/>
      <c r="L492" s="139"/>
    </row>
    <row r="493" spans="1:12" ht="17.399999999999999" x14ac:dyDescent="0.3">
      <c r="A493" s="112"/>
      <c r="B493" s="435"/>
      <c r="C493" s="435"/>
      <c r="D493" s="469"/>
      <c r="E493" s="469"/>
      <c r="F493" s="436"/>
      <c r="G493" s="435"/>
      <c r="H493" s="469"/>
      <c r="I493" s="469"/>
      <c r="J493" s="437"/>
      <c r="K493" s="112"/>
      <c r="L493" s="139"/>
    </row>
    <row r="494" spans="1:12" ht="27" customHeight="1" x14ac:dyDescent="0.3">
      <c r="A494" s="137"/>
      <c r="B494" s="438" t="s">
        <v>757</v>
      </c>
      <c r="C494" s="554" t="s">
        <v>758</v>
      </c>
      <c r="D494" s="554"/>
      <c r="E494" s="554"/>
      <c r="F494" s="436"/>
      <c r="G494" s="554" t="s">
        <v>759</v>
      </c>
      <c r="H494" s="554"/>
      <c r="I494" s="554"/>
      <c r="J494" s="439"/>
      <c r="K494" s="138"/>
      <c r="L494" s="139"/>
    </row>
    <row r="495" spans="1:12" ht="27.75" customHeight="1" x14ac:dyDescent="0.3">
      <c r="A495" s="137"/>
      <c r="B495" s="440" t="s">
        <v>1038</v>
      </c>
      <c r="C495" s="555" t="s">
        <v>760</v>
      </c>
      <c r="D495" s="555"/>
      <c r="E495" s="555"/>
      <c r="F495" s="441"/>
      <c r="G495" s="555" t="s">
        <v>761</v>
      </c>
      <c r="H495" s="555"/>
      <c r="I495" s="555"/>
      <c r="J495" s="442"/>
      <c r="K495" s="135"/>
      <c r="L495" s="139"/>
    </row>
    <row r="496" spans="1:12" ht="30" customHeight="1" x14ac:dyDescent="0.3">
      <c r="A496" s="137"/>
      <c r="B496" s="440"/>
      <c r="C496" s="440"/>
      <c r="D496" s="440"/>
      <c r="E496" s="440"/>
      <c r="F496" s="441"/>
      <c r="G496" s="440"/>
      <c r="H496" s="440"/>
      <c r="I496" s="440"/>
      <c r="J496" s="442"/>
      <c r="K496" s="135"/>
      <c r="L496" s="139"/>
    </row>
    <row r="497" spans="1:12" ht="17.399999999999999" x14ac:dyDescent="0.3">
      <c r="A497" s="137"/>
      <c r="B497" s="479"/>
      <c r="C497" s="479"/>
      <c r="D497" s="479"/>
      <c r="E497" s="479"/>
      <c r="F497" s="441"/>
      <c r="G497" s="479"/>
      <c r="H497" s="479"/>
      <c r="I497" s="479"/>
      <c r="J497" s="442"/>
      <c r="K497" s="135"/>
      <c r="L497" s="139"/>
    </row>
    <row r="498" spans="1:12" ht="17.399999999999999" x14ac:dyDescent="0.3">
      <c r="A498" s="137"/>
      <c r="B498" s="479"/>
      <c r="C498" s="479"/>
      <c r="D498" s="479"/>
      <c r="E498" s="479"/>
      <c r="F498" s="441"/>
      <c r="G498" s="479"/>
      <c r="H498" s="479"/>
      <c r="I498" s="479"/>
      <c r="J498" s="442"/>
      <c r="K498" s="135"/>
      <c r="L498" s="139"/>
    </row>
    <row r="499" spans="1:12" ht="17.399999999999999" x14ac:dyDescent="0.3">
      <c r="A499" s="137"/>
      <c r="B499" s="440"/>
      <c r="C499" s="440"/>
      <c r="D499" s="440"/>
      <c r="E499" s="440"/>
      <c r="F499" s="441"/>
      <c r="G499" s="440"/>
      <c r="H499" s="440"/>
      <c r="I499" s="440"/>
      <c r="J499" s="442"/>
      <c r="K499" s="135"/>
      <c r="L499" s="139"/>
    </row>
    <row r="500" spans="1:12" ht="25.5" customHeight="1" x14ac:dyDescent="0.3">
      <c r="A500" s="137"/>
      <c r="B500" s="440"/>
      <c r="C500" s="440"/>
      <c r="D500" s="440"/>
      <c r="E500" s="440"/>
      <c r="F500" s="441"/>
      <c r="G500" s="440"/>
      <c r="H500" s="440"/>
      <c r="I500" s="440"/>
      <c r="J500" s="442"/>
      <c r="K500" s="135"/>
      <c r="L500" s="139"/>
    </row>
    <row r="501" spans="1:12" ht="17.399999999999999" x14ac:dyDescent="0.3">
      <c r="A501" s="137"/>
      <c r="B501" s="440"/>
      <c r="C501" s="443"/>
      <c r="D501" s="440"/>
      <c r="E501" s="443"/>
      <c r="F501" s="444"/>
      <c r="G501" s="445"/>
      <c r="H501" s="446"/>
      <c r="I501" s="443"/>
      <c r="J501" s="442"/>
      <c r="K501" s="135"/>
      <c r="L501" s="139"/>
    </row>
    <row r="502" spans="1:12" ht="17.399999999999999" x14ac:dyDescent="0.3">
      <c r="A502" s="137"/>
      <c r="B502" s="440"/>
      <c r="C502" s="555"/>
      <c r="D502" s="555"/>
      <c r="E502" s="555"/>
      <c r="F502" s="555"/>
      <c r="G502" s="555"/>
      <c r="H502" s="555"/>
      <c r="I502" s="555"/>
      <c r="J502" s="555"/>
      <c r="K502" s="135"/>
      <c r="L502" s="139"/>
    </row>
    <row r="503" spans="1:12" ht="17.399999999999999" x14ac:dyDescent="0.3">
      <c r="A503" s="137"/>
      <c r="B503" s="440"/>
      <c r="C503" s="555"/>
      <c r="D503" s="555"/>
      <c r="E503" s="555"/>
      <c r="F503" s="556" t="s">
        <v>1267</v>
      </c>
      <c r="G503" s="556"/>
      <c r="H503" s="556"/>
      <c r="I503" s="555"/>
      <c r="J503" s="555"/>
      <c r="K503" s="135"/>
      <c r="L503" s="141"/>
    </row>
    <row r="504" spans="1:12" ht="17.399999999999999" x14ac:dyDescent="0.3">
      <c r="A504" s="137"/>
      <c r="B504" s="440"/>
      <c r="C504" s="555" t="s">
        <v>762</v>
      </c>
      <c r="D504" s="555"/>
      <c r="E504" s="555"/>
      <c r="F504" s="444"/>
      <c r="G504" s="555" t="s">
        <v>762</v>
      </c>
      <c r="H504" s="555"/>
      <c r="I504" s="555"/>
      <c r="J504" s="442"/>
      <c r="K504" s="135"/>
      <c r="L504" s="145"/>
    </row>
    <row r="505" spans="1:12" ht="18.75" customHeight="1" x14ac:dyDescent="0.3">
      <c r="A505" s="116"/>
      <c r="B505" s="447" t="s">
        <v>1033</v>
      </c>
      <c r="C505" s="557" t="s">
        <v>763</v>
      </c>
      <c r="D505" s="557"/>
      <c r="E505" s="557"/>
      <c r="F505" s="448"/>
      <c r="G505" s="557" t="s">
        <v>763</v>
      </c>
      <c r="H505" s="557"/>
      <c r="I505" s="557"/>
      <c r="J505" s="449"/>
      <c r="K505" s="140"/>
      <c r="L505" s="145"/>
    </row>
    <row r="506" spans="1:12" ht="17.399999999999999" x14ac:dyDescent="0.3">
      <c r="A506" s="142"/>
      <c r="B506" s="450"/>
      <c r="C506" s="558"/>
      <c r="D506" s="559"/>
      <c r="E506" s="558"/>
      <c r="F506" s="559"/>
      <c r="G506" s="560"/>
      <c r="H506" s="561"/>
      <c r="I506" s="451"/>
      <c r="J506" s="452"/>
      <c r="K506" s="144"/>
      <c r="L506" s="145"/>
    </row>
    <row r="507" spans="1:12" ht="17.399999999999999" x14ac:dyDescent="0.3">
      <c r="A507" s="142"/>
      <c r="B507" s="440" t="s">
        <v>1039</v>
      </c>
      <c r="C507" s="451"/>
      <c r="D507" s="453"/>
      <c r="E507" s="451"/>
      <c r="F507" s="453"/>
      <c r="G507" s="454"/>
      <c r="H507" s="455"/>
      <c r="I507" s="451"/>
      <c r="J507" s="452"/>
      <c r="K507" s="144"/>
      <c r="L507" s="145"/>
    </row>
    <row r="508" spans="1:12" ht="27" customHeight="1" x14ac:dyDescent="0.3">
      <c r="A508" s="142"/>
      <c r="B508" s="440"/>
      <c r="C508" s="451"/>
      <c r="D508" s="453"/>
      <c r="E508" s="451"/>
      <c r="F508" s="453"/>
      <c r="G508" s="454"/>
      <c r="H508" s="455"/>
      <c r="I508" s="451"/>
      <c r="J508" s="452"/>
      <c r="K508" s="144"/>
      <c r="L508" s="145"/>
    </row>
    <row r="509" spans="1:12" ht="31.5" customHeight="1" x14ac:dyDescent="0.3">
      <c r="A509" s="142"/>
      <c r="B509" s="440"/>
      <c r="C509" s="451"/>
      <c r="D509" s="453"/>
      <c r="E509" s="451"/>
      <c r="F509" s="453"/>
      <c r="G509" s="454"/>
      <c r="H509" s="455"/>
      <c r="I509" s="451"/>
      <c r="J509" s="452"/>
      <c r="K509" s="144"/>
      <c r="L509" s="145"/>
    </row>
    <row r="510" spans="1:12" ht="28.5" customHeight="1" x14ac:dyDescent="0.3">
      <c r="A510" s="142"/>
      <c r="B510" s="440"/>
      <c r="C510" s="451"/>
      <c r="D510" s="453"/>
      <c r="E510" s="451"/>
      <c r="F510" s="453"/>
      <c r="G510" s="454"/>
      <c r="H510" s="455"/>
      <c r="I510" s="451"/>
      <c r="J510" s="452"/>
      <c r="K510" s="144"/>
      <c r="L510" s="145"/>
    </row>
    <row r="511" spans="1:12" ht="26.25" customHeight="1" x14ac:dyDescent="0.3">
      <c r="A511" s="142"/>
      <c r="B511" s="450"/>
      <c r="C511" s="451"/>
      <c r="D511" s="453"/>
      <c r="E511" s="451"/>
      <c r="F511" s="453"/>
      <c r="G511" s="454"/>
      <c r="H511" s="455"/>
      <c r="I511" s="451"/>
      <c r="J511" s="452"/>
      <c r="K511" s="144"/>
      <c r="L511" s="145"/>
    </row>
    <row r="512" spans="1:12" ht="17.399999999999999" x14ac:dyDescent="0.3">
      <c r="A512" s="142"/>
      <c r="B512" s="450"/>
      <c r="C512" s="451"/>
      <c r="D512" s="453"/>
      <c r="E512" s="451"/>
      <c r="F512" s="453"/>
      <c r="G512" s="454"/>
      <c r="H512" s="455"/>
      <c r="I512" s="451"/>
      <c r="J512" s="452"/>
      <c r="K512" s="144"/>
      <c r="L512" s="145"/>
    </row>
    <row r="513" spans="1:12" ht="17.399999999999999" x14ac:dyDescent="0.3">
      <c r="A513" s="142"/>
      <c r="B513" s="450"/>
      <c r="C513" s="451"/>
      <c r="D513" s="453"/>
      <c r="E513" s="451"/>
      <c r="F513" s="453"/>
      <c r="G513" s="454"/>
      <c r="H513" s="455"/>
      <c r="I513" s="451"/>
      <c r="J513" s="452"/>
      <c r="K513" s="144"/>
      <c r="L513" s="145"/>
    </row>
    <row r="514" spans="1:12" ht="17.399999999999999" x14ac:dyDescent="0.3">
      <c r="A514" s="142"/>
      <c r="B514" s="456" t="s">
        <v>1034</v>
      </c>
      <c r="C514" s="562"/>
      <c r="D514" s="562"/>
      <c r="E514" s="562"/>
      <c r="F514" s="562"/>
      <c r="G514" s="563"/>
      <c r="H514" s="563"/>
      <c r="I514" s="457"/>
      <c r="J514" s="458"/>
      <c r="K514" s="144"/>
      <c r="L514" s="145"/>
    </row>
    <row r="515" spans="1:12" ht="17.399999999999999" x14ac:dyDescent="0.3">
      <c r="A515" s="142"/>
      <c r="B515" s="459" t="s">
        <v>1035</v>
      </c>
      <c r="C515" s="562"/>
      <c r="D515" s="562"/>
      <c r="E515" s="562"/>
      <c r="F515" s="562"/>
      <c r="G515" s="564"/>
      <c r="H515" s="564"/>
      <c r="I515" s="460"/>
      <c r="J515" s="461"/>
      <c r="K515" s="144"/>
      <c r="L515" s="148"/>
    </row>
    <row r="516" spans="1:12" ht="17.399999999999999" x14ac:dyDescent="0.3">
      <c r="A516" s="142"/>
      <c r="B516" s="459"/>
      <c r="C516" s="480"/>
      <c r="D516" s="480"/>
      <c r="E516" s="480"/>
      <c r="F516" s="480"/>
      <c r="G516" s="481"/>
      <c r="H516" s="481"/>
      <c r="I516" s="460"/>
      <c r="J516" s="481"/>
      <c r="K516" s="144"/>
      <c r="L516" s="148"/>
    </row>
    <row r="517" spans="1:12" ht="69" customHeight="1" x14ac:dyDescent="0.3">
      <c r="A517" s="142"/>
      <c r="B517" s="459"/>
      <c r="C517" s="460"/>
      <c r="D517" s="462"/>
      <c r="E517" s="460"/>
      <c r="F517" s="462"/>
      <c r="G517" s="463"/>
      <c r="H517" s="461"/>
      <c r="I517" s="460"/>
      <c r="J517" s="461"/>
      <c r="K517" s="144"/>
      <c r="L517" s="148"/>
    </row>
    <row r="518" spans="1:12" ht="47.25" customHeight="1" x14ac:dyDescent="0.3">
      <c r="A518" s="142"/>
      <c r="B518" s="211"/>
      <c r="C518" s="147"/>
      <c r="D518" s="284"/>
      <c r="E518" s="147"/>
      <c r="F518" s="284"/>
      <c r="G518" s="249"/>
      <c r="H518" s="285"/>
      <c r="I518" s="147"/>
      <c r="J518" s="285"/>
      <c r="K518" s="144"/>
      <c r="L518" s="148"/>
    </row>
    <row r="519" spans="1:12" ht="45.75" customHeight="1" thickBot="1" x14ac:dyDescent="0.35">
      <c r="A519" s="112"/>
      <c r="B519" s="149"/>
      <c r="C519" s="115"/>
      <c r="D519" s="150"/>
      <c r="E519" s="324"/>
      <c r="F519" s="112"/>
      <c r="G519" s="250"/>
      <c r="H519" s="195"/>
      <c r="I519" s="349"/>
      <c r="J519" s="195"/>
      <c r="K519" s="112"/>
      <c r="L519" s="110"/>
    </row>
    <row r="520" spans="1:12" ht="15" thickBot="1" x14ac:dyDescent="0.35">
      <c r="A520" s="151"/>
      <c r="B520" s="152" t="s">
        <v>764</v>
      </c>
      <c r="C520" s="565" t="s">
        <v>769</v>
      </c>
      <c r="D520" s="566"/>
      <c r="E520" s="567" t="s">
        <v>765</v>
      </c>
      <c r="F520" s="568"/>
      <c r="G520" s="569"/>
      <c r="H520" s="570"/>
      <c r="I520" s="350"/>
      <c r="J520" s="369"/>
      <c r="K520" s="153"/>
      <c r="L520" s="145"/>
    </row>
    <row r="521" spans="1:12" x14ac:dyDescent="0.3">
      <c r="A521" s="151"/>
      <c r="B521" s="154" t="s">
        <v>1235</v>
      </c>
      <c r="C521" s="571">
        <f>J145</f>
        <v>968354.80999999982</v>
      </c>
      <c r="D521" s="572"/>
      <c r="E521" s="573">
        <f>J479</f>
        <v>408288.0552</v>
      </c>
      <c r="F521" s="574"/>
      <c r="G521" s="575"/>
      <c r="H521" s="576"/>
      <c r="I521" s="351"/>
      <c r="J521" s="155"/>
      <c r="K521" s="153"/>
      <c r="L521" s="167">
        <f>C521+E521+G521+I521+J521</f>
        <v>1376642.8651999999</v>
      </c>
    </row>
    <row r="522" spans="1:12" x14ac:dyDescent="0.3">
      <c r="A522" s="151"/>
      <c r="B522" s="156" t="s">
        <v>766</v>
      </c>
      <c r="C522" s="577">
        <f>ROUND(0.18*C521,2)+0.01</f>
        <v>174303.88</v>
      </c>
      <c r="D522" s="578"/>
      <c r="E522" s="579">
        <f>ROUND(0.18*E521,2)</f>
        <v>73491.850000000006</v>
      </c>
      <c r="F522" s="580"/>
      <c r="G522" s="581">
        <f>ROUND(0.18*G521,2)</f>
        <v>0</v>
      </c>
      <c r="H522" s="582"/>
      <c r="I522" s="352">
        <f>ROUND(0.18*I521,2)</f>
        <v>0</v>
      </c>
      <c r="J522" s="157">
        <f>ROUND(0.18*J521,2)</f>
        <v>0</v>
      </c>
      <c r="K522" s="153"/>
      <c r="L522" s="144">
        <f>SUM(C522:J522)</f>
        <v>247795.73</v>
      </c>
    </row>
    <row r="523" spans="1:12" x14ac:dyDescent="0.3">
      <c r="A523" s="151"/>
      <c r="B523" s="156" t="s">
        <v>750</v>
      </c>
      <c r="C523" s="577">
        <f>C521+C522</f>
        <v>1142658.69</v>
      </c>
      <c r="D523" s="583"/>
      <c r="E523" s="579">
        <f>E521+E522</f>
        <v>481779.90520000004</v>
      </c>
      <c r="F523" s="584"/>
      <c r="G523" s="581">
        <f>G521+G522</f>
        <v>0</v>
      </c>
      <c r="H523" s="585"/>
      <c r="I523" s="352">
        <f>I521+I522</f>
        <v>0</v>
      </c>
      <c r="J523" s="157">
        <f>J521+J522</f>
        <v>0</v>
      </c>
      <c r="K523" s="153"/>
      <c r="L523" s="144">
        <f>C523+E523+G523+I523+J523</f>
        <v>1624438.5951999999</v>
      </c>
    </row>
    <row r="524" spans="1:12" x14ac:dyDescent="0.3">
      <c r="A524" s="151"/>
      <c r="B524" s="156" t="s">
        <v>751</v>
      </c>
      <c r="C524" s="577">
        <f>15*C523/100</f>
        <v>171398.80349999998</v>
      </c>
      <c r="D524" s="583"/>
      <c r="E524" s="579">
        <f>15*E523/100</f>
        <v>72266.985780000003</v>
      </c>
      <c r="F524" s="584"/>
      <c r="G524" s="581">
        <f>15*G523/100</f>
        <v>0</v>
      </c>
      <c r="H524" s="585"/>
      <c r="I524" s="352">
        <f>15*I523/100</f>
        <v>0</v>
      </c>
      <c r="J524" s="157">
        <f>15*J523/100</f>
        <v>0</v>
      </c>
      <c r="K524" s="153"/>
      <c r="L524" s="144">
        <f>C524+E524+G524+I524+J524</f>
        <v>243665.78927999997</v>
      </c>
    </row>
    <row r="525" spans="1:12" ht="15" thickBot="1" x14ac:dyDescent="0.35">
      <c r="A525" s="151"/>
      <c r="B525" s="158" t="s">
        <v>750</v>
      </c>
      <c r="C525" s="586">
        <f>C523+C524</f>
        <v>1314057.4934999999</v>
      </c>
      <c r="D525" s="587"/>
      <c r="E525" s="588">
        <f>E523+E524</f>
        <v>554046.89098000003</v>
      </c>
      <c r="F525" s="589"/>
      <c r="G525" s="590">
        <f>G523+G524</f>
        <v>0</v>
      </c>
      <c r="H525" s="591"/>
      <c r="I525" s="353">
        <f>I523+I524</f>
        <v>0</v>
      </c>
      <c r="J525" s="159">
        <f>J523+J524</f>
        <v>0</v>
      </c>
      <c r="K525" s="153"/>
      <c r="L525" s="144">
        <f>C525+E525+G525+I525+J525</f>
        <v>1868104.38448</v>
      </c>
    </row>
    <row r="526" spans="1:12" ht="15" thickBot="1" x14ac:dyDescent="0.35">
      <c r="A526" s="151"/>
      <c r="B526" s="160" t="s">
        <v>767</v>
      </c>
      <c r="C526" s="592">
        <f>ROUND(C525/I486,9)</f>
        <v>0.703417599</v>
      </c>
      <c r="D526" s="592"/>
      <c r="E526" s="593">
        <f>ROUND(E525/I484,9)</f>
        <v>0.29658240600000002</v>
      </c>
      <c r="F526" s="593"/>
      <c r="G526" s="594">
        <f>ROUND(G525/I484,9)</f>
        <v>0</v>
      </c>
      <c r="H526" s="594"/>
      <c r="I526" s="161">
        <f>ROUND(I525/I484,9)</f>
        <v>0</v>
      </c>
      <c r="J526" s="282">
        <f>ROUNDDOWN(J525/I484,9)</f>
        <v>0</v>
      </c>
      <c r="K526" s="153"/>
      <c r="L526" s="144">
        <f>SUM(C526:J526)</f>
        <v>1.000000005</v>
      </c>
    </row>
    <row r="527" spans="1:12" ht="15" thickBot="1" x14ac:dyDescent="0.35">
      <c r="A527" s="151"/>
      <c r="B527" s="162" t="s">
        <v>768</v>
      </c>
      <c r="C527" s="595">
        <f>C526</f>
        <v>0.703417599</v>
      </c>
      <c r="D527" s="596"/>
      <c r="E527" s="597">
        <f>E526</f>
        <v>0.29658240600000002</v>
      </c>
      <c r="F527" s="598"/>
      <c r="G527" s="599"/>
      <c r="H527" s="600"/>
      <c r="I527" s="163"/>
      <c r="J527" s="283"/>
      <c r="K527" s="153"/>
      <c r="L527" s="168">
        <f>SUM(C527:J527)</f>
        <v>1.000000005</v>
      </c>
    </row>
    <row r="528" spans="1:12" x14ac:dyDescent="0.3">
      <c r="A528" s="112"/>
      <c r="B528" s="149"/>
      <c r="C528" s="115"/>
      <c r="D528" s="150"/>
      <c r="E528" s="324"/>
      <c r="F528" s="112"/>
      <c r="G528" s="250"/>
      <c r="H528" s="195"/>
      <c r="I528" s="349"/>
      <c r="J528" s="195"/>
      <c r="K528" s="112"/>
      <c r="L528" s="136"/>
    </row>
    <row r="529" spans="2:3" x14ac:dyDescent="0.3">
      <c r="B529" s="390"/>
      <c r="C529" s="303"/>
    </row>
    <row r="530" spans="2:3" x14ac:dyDescent="0.3">
      <c r="B530" s="390"/>
      <c r="C530" s="303"/>
    </row>
    <row r="531" spans="2:3" x14ac:dyDescent="0.3">
      <c r="B531" s="390"/>
      <c r="C531" s="303"/>
    </row>
    <row r="532" spans="2:3" x14ac:dyDescent="0.3">
      <c r="B532" s="390"/>
      <c r="C532" s="303"/>
    </row>
    <row r="533" spans="2:3" x14ac:dyDescent="0.3">
      <c r="B533" s="390"/>
      <c r="C533" s="303"/>
    </row>
  </sheetData>
  <mergeCells count="99">
    <mergeCell ref="C526:D526"/>
    <mergeCell ref="E526:F526"/>
    <mergeCell ref="G526:H526"/>
    <mergeCell ref="C527:D527"/>
    <mergeCell ref="E527:F527"/>
    <mergeCell ref="G527:H527"/>
    <mergeCell ref="C524:D524"/>
    <mergeCell ref="E524:F524"/>
    <mergeCell ref="G524:H524"/>
    <mergeCell ref="C525:D525"/>
    <mergeCell ref="E525:F525"/>
    <mergeCell ref="G525:H525"/>
    <mergeCell ref="C522:D522"/>
    <mergeCell ref="E522:F522"/>
    <mergeCell ref="G522:H522"/>
    <mergeCell ref="C523:D523"/>
    <mergeCell ref="E523:F523"/>
    <mergeCell ref="G523:H523"/>
    <mergeCell ref="C520:D520"/>
    <mergeCell ref="E520:F520"/>
    <mergeCell ref="G520:H520"/>
    <mergeCell ref="C521:D521"/>
    <mergeCell ref="E521:F521"/>
    <mergeCell ref="G521:H521"/>
    <mergeCell ref="C514:D514"/>
    <mergeCell ref="E514:F514"/>
    <mergeCell ref="G514:H514"/>
    <mergeCell ref="C515:D515"/>
    <mergeCell ref="E515:F515"/>
    <mergeCell ref="G515:H515"/>
    <mergeCell ref="C505:E505"/>
    <mergeCell ref="G505:I505"/>
    <mergeCell ref="C506:D506"/>
    <mergeCell ref="E506:F506"/>
    <mergeCell ref="G506:H506"/>
    <mergeCell ref="C503:E503"/>
    <mergeCell ref="F503:H503"/>
    <mergeCell ref="I503:J503"/>
    <mergeCell ref="C504:E504"/>
    <mergeCell ref="G504:I504"/>
    <mergeCell ref="C495:E495"/>
    <mergeCell ref="G495:I495"/>
    <mergeCell ref="C502:E502"/>
    <mergeCell ref="F502:H502"/>
    <mergeCell ref="I502:J502"/>
    <mergeCell ref="C488:H488"/>
    <mergeCell ref="I488:J488"/>
    <mergeCell ref="C492:E492"/>
    <mergeCell ref="G492:I492"/>
    <mergeCell ref="C494:E494"/>
    <mergeCell ref="G494:I494"/>
    <mergeCell ref="B486:B487"/>
    <mergeCell ref="C486:H486"/>
    <mergeCell ref="I486:J486"/>
    <mergeCell ref="C487:G487"/>
    <mergeCell ref="I487:J487"/>
    <mergeCell ref="C483:H483"/>
    <mergeCell ref="I483:J483"/>
    <mergeCell ref="C484:H484"/>
    <mergeCell ref="I484:J484"/>
    <mergeCell ref="C485:H485"/>
    <mergeCell ref="I485:J485"/>
    <mergeCell ref="C480:H480"/>
    <mergeCell ref="I480:J480"/>
    <mergeCell ref="C481:G481"/>
    <mergeCell ref="I481:J481"/>
    <mergeCell ref="C482:H482"/>
    <mergeCell ref="I482:J482"/>
    <mergeCell ref="Q2:Q8"/>
    <mergeCell ref="R2:R8"/>
    <mergeCell ref="G7:H7"/>
    <mergeCell ref="A8:K8"/>
    <mergeCell ref="D145:I145"/>
    <mergeCell ref="M2:M8"/>
    <mergeCell ref="N2:N8"/>
    <mergeCell ref="O2:O8"/>
    <mergeCell ref="P2:P8"/>
    <mergeCell ref="D3:J4"/>
    <mergeCell ref="D59:H59"/>
    <mergeCell ref="D72:H72"/>
    <mergeCell ref="D87:H87"/>
    <mergeCell ref="D113:H113"/>
    <mergeCell ref="D138:H138"/>
    <mergeCell ref="D144:H144"/>
    <mergeCell ref="F479:I479"/>
    <mergeCell ref="C464:H464"/>
    <mergeCell ref="C478:H478"/>
    <mergeCell ref="D188:H188"/>
    <mergeCell ref="C215:H215"/>
    <mergeCell ref="C397:H397"/>
    <mergeCell ref="C414:H414"/>
    <mergeCell ref="C461:H461"/>
    <mergeCell ref="C447:H447"/>
    <mergeCell ref="C427:H427"/>
    <mergeCell ref="C243:H243"/>
    <mergeCell ref="C263:H263"/>
    <mergeCell ref="C267:H267"/>
    <mergeCell ref="C288:H288"/>
    <mergeCell ref="C372:H372"/>
  </mergeCells>
  <phoneticPr fontId="0" type="noConversion"/>
  <printOptions horizontalCentered="1" verticalCentered="1"/>
  <pageMargins left="0.25" right="0.25" top="0.75" bottom="0.75" header="0.3" footer="0.3"/>
  <pageSetup paperSize="9" scale="55" fitToHeight="0" orientation="portrait" r:id="rId1"/>
  <rowBreaks count="1" manualBreakCount="1">
    <brk id="473" max="9" man="1"/>
  </rowBreaks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3</vt:i4>
      </vt:variant>
    </vt:vector>
  </HeadingPairs>
  <TitlesOfParts>
    <vt:vector size="6" baseType="lpstr">
      <vt:lpstr>ΑΝΑΛ.ΠΡΟΜ.OIK</vt:lpstr>
      <vt:lpstr>ΣΥΝΟΠΤΙΚΗ ΠΡΟΜ.OIK</vt:lpstr>
      <vt:lpstr>ΓΕΝ.ΠΡΟΫΠΟΛΟΓΙΣΜΟΣ</vt:lpstr>
      <vt:lpstr>ΑΝΑΛ.ΠΡΟΜ.OIK!Print_Area</vt:lpstr>
      <vt:lpstr>ΓΕΝ.ΠΡΟΫΠΟΛΟΓΙΣΜΟΣ!Print_Area</vt:lpstr>
      <vt:lpstr>'ΣΥΝΟΠΤΙΚΗ ΠΡΟΜ.OIK'!Print_Area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Alex1</dc:creator>
  <cp:lastModifiedBy>user</cp:lastModifiedBy>
  <cp:revision/>
  <cp:lastPrinted>2018-02-08T07:47:15Z</cp:lastPrinted>
  <dcterms:created xsi:type="dcterms:W3CDTF">2016-06-22T09:26:58Z</dcterms:created>
  <dcterms:modified xsi:type="dcterms:W3CDTF">2018-02-08T07:48:14Z</dcterms:modified>
</cp:coreProperties>
</file>